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showInkAnnotation="0"/>
  <mc:AlternateContent xmlns:mc="http://schemas.openxmlformats.org/markup-compatibility/2006">
    <mc:Choice Requires="x15">
      <x15ac:absPath xmlns:x15ac="http://schemas.microsoft.com/office/spreadsheetml/2010/11/ac" url="/Users/maurofrancoso/Documents/FC ENGENHARIA/"/>
    </mc:Choice>
  </mc:AlternateContent>
  <bookViews>
    <workbookView xWindow="640" yWindow="1180" windowWidth="28160" windowHeight="15480" tabRatio="500"/>
  </bookViews>
  <sheets>
    <sheet name="DadosDep" sheetId="1" r:id="rId1"/>
    <sheet name="Relatório" sheetId="11" r:id="rId2"/>
    <sheet name="Ross" sheetId="3" r:id="rId3"/>
    <sheet name="HCaires" sheetId="4" r:id="rId4"/>
    <sheet name="LinhaReta" sheetId="5" r:id="rId5"/>
    <sheet name="Kuentzle" sheetId="6" r:id="rId6"/>
    <sheet name="Heidecke" sheetId="7" r:id="rId7"/>
    <sheet name="RossHeidecke" sheetId="8" r:id="rId8"/>
    <sheet name="Criticidade" sheetId="9" r:id="rId9"/>
    <sheet name="RH" sheetId="10" r:id="rId10"/>
  </sheets>
  <calcPr calcId="15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11" i="7" l="1"/>
  <c r="F61" i="1"/>
  <c r="M29" i="4"/>
  <c r="D8" i="4"/>
  <c r="F30" i="1"/>
  <c r="E12" i="4"/>
  <c r="D12" i="4"/>
  <c r="E11" i="4"/>
  <c r="D11" i="4"/>
  <c r="G7" i="11"/>
  <c r="P16" i="9"/>
  <c r="O16" i="9"/>
  <c r="I16" i="9"/>
  <c r="P17" i="9"/>
  <c r="O17" i="9"/>
  <c r="I17" i="9"/>
  <c r="P18" i="9"/>
  <c r="O18" i="9"/>
  <c r="I18" i="9"/>
  <c r="P19" i="9"/>
  <c r="O19" i="9"/>
  <c r="I19" i="9"/>
  <c r="P20" i="9"/>
  <c r="O20" i="9"/>
  <c r="I20" i="9"/>
  <c r="P21" i="9"/>
  <c r="O21" i="9"/>
  <c r="I21" i="9"/>
  <c r="I22" i="9"/>
  <c r="H12" i="9"/>
  <c r="H11" i="9"/>
  <c r="I5" i="9"/>
  <c r="U69" i="1"/>
  <c r="Y69" i="1"/>
  <c r="G24" i="11"/>
  <c r="D24" i="11"/>
  <c r="H12" i="8"/>
  <c r="H17" i="8"/>
  <c r="H11" i="8"/>
  <c r="I7" i="8"/>
  <c r="H28" i="8"/>
  <c r="H13" i="8"/>
  <c r="H6" i="8"/>
  <c r="H66" i="1"/>
  <c r="K66" i="1"/>
  <c r="G18" i="11"/>
  <c r="D18" i="11"/>
  <c r="B61" i="1"/>
  <c r="G16" i="11"/>
  <c r="D16" i="11"/>
  <c r="B30" i="1"/>
  <c r="G12" i="11"/>
  <c r="C12" i="3"/>
  <c r="C13" i="3"/>
  <c r="C11" i="3"/>
  <c r="C25" i="3"/>
  <c r="C16" i="3"/>
  <c r="F35" i="1"/>
  <c r="B35" i="1"/>
  <c r="G14" i="11"/>
  <c r="C12" i="6"/>
  <c r="C13" i="6"/>
  <c r="C11" i="6"/>
  <c r="C25" i="6"/>
  <c r="C16" i="6"/>
  <c r="F40" i="1"/>
  <c r="B40" i="1"/>
  <c r="G22" i="11"/>
  <c r="C12" i="5"/>
  <c r="C11" i="5"/>
  <c r="C13" i="5"/>
  <c r="C25" i="5"/>
  <c r="C16" i="5"/>
  <c r="F46" i="1"/>
  <c r="B46" i="1"/>
  <c r="G20" i="11"/>
  <c r="D12" i="11"/>
  <c r="D14" i="11"/>
  <c r="D20" i="11"/>
  <c r="D22" i="11"/>
  <c r="V65" i="1"/>
  <c r="O57" i="10"/>
  <c r="P57" i="10"/>
  <c r="M57" i="10"/>
  <c r="N57" i="10"/>
  <c r="K57" i="10"/>
  <c r="L57" i="10"/>
  <c r="I57" i="10"/>
  <c r="J57" i="10"/>
  <c r="G57" i="10"/>
  <c r="H57" i="10"/>
  <c r="E57" i="10"/>
  <c r="F57" i="10"/>
  <c r="C57" i="10"/>
  <c r="D57" i="10"/>
  <c r="B57" i="10"/>
  <c r="O56" i="10"/>
  <c r="P56" i="10"/>
  <c r="M56" i="10"/>
  <c r="N56" i="10"/>
  <c r="K56" i="10"/>
  <c r="L56" i="10"/>
  <c r="I56" i="10"/>
  <c r="J56" i="10"/>
  <c r="G56" i="10"/>
  <c r="H56" i="10"/>
  <c r="E56" i="10"/>
  <c r="F56" i="10"/>
  <c r="C56" i="10"/>
  <c r="D56" i="10"/>
  <c r="B56" i="10"/>
  <c r="O55" i="10"/>
  <c r="P55" i="10"/>
  <c r="M55" i="10"/>
  <c r="N55" i="10"/>
  <c r="K55" i="10"/>
  <c r="L55" i="10"/>
  <c r="I55" i="10"/>
  <c r="J55" i="10"/>
  <c r="G55" i="10"/>
  <c r="H55" i="10"/>
  <c r="E55" i="10"/>
  <c r="F55" i="10"/>
  <c r="C55" i="10"/>
  <c r="D55" i="10"/>
  <c r="B55" i="10"/>
  <c r="O54" i="10"/>
  <c r="P54" i="10"/>
  <c r="M54" i="10"/>
  <c r="N54" i="10"/>
  <c r="K54" i="10"/>
  <c r="L54" i="10"/>
  <c r="I54" i="10"/>
  <c r="J54" i="10"/>
  <c r="G54" i="10"/>
  <c r="H54" i="10"/>
  <c r="E54" i="10"/>
  <c r="F54" i="10"/>
  <c r="C54" i="10"/>
  <c r="D54" i="10"/>
  <c r="B54" i="10"/>
  <c r="O53" i="10"/>
  <c r="P53" i="10"/>
  <c r="M53" i="10"/>
  <c r="N53" i="10"/>
  <c r="K53" i="10"/>
  <c r="L53" i="10"/>
  <c r="I53" i="10"/>
  <c r="J53" i="10"/>
  <c r="G53" i="10"/>
  <c r="H53" i="10"/>
  <c r="E53" i="10"/>
  <c r="F53" i="10"/>
  <c r="C53" i="10"/>
  <c r="D53" i="10"/>
  <c r="B53" i="10"/>
  <c r="O52" i="10"/>
  <c r="P52" i="10"/>
  <c r="M52" i="10"/>
  <c r="N52" i="10"/>
  <c r="K52" i="10"/>
  <c r="L52" i="10"/>
  <c r="I52" i="10"/>
  <c r="J52" i="10"/>
  <c r="G52" i="10"/>
  <c r="H52" i="10"/>
  <c r="E52" i="10"/>
  <c r="F52" i="10"/>
  <c r="C52" i="10"/>
  <c r="D52" i="10"/>
  <c r="B52" i="10"/>
  <c r="O51" i="10"/>
  <c r="P51" i="10"/>
  <c r="M51" i="10"/>
  <c r="N51" i="10"/>
  <c r="K51" i="10"/>
  <c r="L51" i="10"/>
  <c r="I51" i="10"/>
  <c r="J51" i="10"/>
  <c r="G51" i="10"/>
  <c r="H51" i="10"/>
  <c r="E51" i="10"/>
  <c r="F51" i="10"/>
  <c r="C51" i="10"/>
  <c r="D51" i="10"/>
  <c r="B51" i="10"/>
  <c r="O50" i="10"/>
  <c r="P50" i="10"/>
  <c r="M50" i="10"/>
  <c r="N50" i="10"/>
  <c r="K50" i="10"/>
  <c r="L50" i="10"/>
  <c r="I50" i="10"/>
  <c r="J50" i="10"/>
  <c r="G50" i="10"/>
  <c r="H50" i="10"/>
  <c r="E50" i="10"/>
  <c r="F50" i="10"/>
  <c r="C50" i="10"/>
  <c r="D50" i="10"/>
  <c r="B50" i="10"/>
  <c r="O49" i="10"/>
  <c r="P49" i="10"/>
  <c r="M49" i="10"/>
  <c r="N49" i="10"/>
  <c r="K49" i="10"/>
  <c r="L49" i="10"/>
  <c r="I49" i="10"/>
  <c r="J49" i="10"/>
  <c r="G49" i="10"/>
  <c r="H49" i="10"/>
  <c r="E49" i="10"/>
  <c r="F49" i="10"/>
  <c r="C49" i="10"/>
  <c r="D49" i="10"/>
  <c r="B49" i="10"/>
  <c r="O48" i="10"/>
  <c r="P48" i="10"/>
  <c r="M48" i="10"/>
  <c r="N48" i="10"/>
  <c r="K48" i="10"/>
  <c r="L48" i="10"/>
  <c r="I48" i="10"/>
  <c r="J48" i="10"/>
  <c r="G48" i="10"/>
  <c r="H48" i="10"/>
  <c r="E48" i="10"/>
  <c r="F48" i="10"/>
  <c r="C48" i="10"/>
  <c r="D48" i="10"/>
  <c r="B48" i="10"/>
  <c r="O47" i="10"/>
  <c r="P47" i="10"/>
  <c r="M47" i="10"/>
  <c r="N47" i="10"/>
  <c r="K47" i="10"/>
  <c r="L47" i="10"/>
  <c r="I47" i="10"/>
  <c r="J47" i="10"/>
  <c r="G47" i="10"/>
  <c r="H47" i="10"/>
  <c r="E47" i="10"/>
  <c r="F47" i="10"/>
  <c r="C47" i="10"/>
  <c r="D47" i="10"/>
  <c r="B47" i="10"/>
  <c r="O46" i="10"/>
  <c r="P46" i="10"/>
  <c r="M46" i="10"/>
  <c r="N46" i="10"/>
  <c r="K46" i="10"/>
  <c r="L46" i="10"/>
  <c r="I46" i="10"/>
  <c r="J46" i="10"/>
  <c r="G46" i="10"/>
  <c r="H46" i="10"/>
  <c r="E46" i="10"/>
  <c r="F46" i="10"/>
  <c r="C46" i="10"/>
  <c r="D46" i="10"/>
  <c r="B46" i="10"/>
  <c r="O45" i="10"/>
  <c r="P45" i="10"/>
  <c r="M45" i="10"/>
  <c r="N45" i="10"/>
  <c r="K45" i="10"/>
  <c r="L45" i="10"/>
  <c r="I45" i="10"/>
  <c r="J45" i="10"/>
  <c r="G45" i="10"/>
  <c r="H45" i="10"/>
  <c r="E45" i="10"/>
  <c r="F45" i="10"/>
  <c r="C45" i="10"/>
  <c r="D45" i="10"/>
  <c r="B45" i="10"/>
  <c r="O44" i="10"/>
  <c r="P44" i="10"/>
  <c r="M44" i="10"/>
  <c r="N44" i="10"/>
  <c r="K44" i="10"/>
  <c r="L44" i="10"/>
  <c r="I44" i="10"/>
  <c r="J44" i="10"/>
  <c r="G44" i="10"/>
  <c r="H44" i="10"/>
  <c r="E44" i="10"/>
  <c r="F44" i="10"/>
  <c r="C44" i="10"/>
  <c r="D44" i="10"/>
  <c r="B44" i="10"/>
  <c r="O43" i="10"/>
  <c r="P43" i="10"/>
  <c r="M43" i="10"/>
  <c r="N43" i="10"/>
  <c r="K43" i="10"/>
  <c r="L43" i="10"/>
  <c r="I43" i="10"/>
  <c r="J43" i="10"/>
  <c r="G43" i="10"/>
  <c r="H43" i="10"/>
  <c r="E43" i="10"/>
  <c r="F43" i="10"/>
  <c r="C43" i="10"/>
  <c r="D43" i="10"/>
  <c r="B43" i="10"/>
  <c r="O42" i="10"/>
  <c r="P42" i="10"/>
  <c r="M42" i="10"/>
  <c r="N42" i="10"/>
  <c r="K42" i="10"/>
  <c r="L42" i="10"/>
  <c r="I42" i="10"/>
  <c r="J42" i="10"/>
  <c r="G42" i="10"/>
  <c r="H42" i="10"/>
  <c r="E42" i="10"/>
  <c r="F42" i="10"/>
  <c r="C42" i="10"/>
  <c r="D42" i="10"/>
  <c r="B42" i="10"/>
  <c r="O41" i="10"/>
  <c r="P41" i="10"/>
  <c r="M41" i="10"/>
  <c r="N41" i="10"/>
  <c r="K41" i="10"/>
  <c r="L41" i="10"/>
  <c r="I41" i="10"/>
  <c r="J41" i="10"/>
  <c r="G41" i="10"/>
  <c r="H41" i="10"/>
  <c r="E41" i="10"/>
  <c r="F41" i="10"/>
  <c r="C41" i="10"/>
  <c r="D41" i="10"/>
  <c r="B41" i="10"/>
  <c r="O40" i="10"/>
  <c r="P40" i="10"/>
  <c r="M40" i="10"/>
  <c r="N40" i="10"/>
  <c r="K40" i="10"/>
  <c r="L40" i="10"/>
  <c r="I40" i="10"/>
  <c r="J40" i="10"/>
  <c r="G40" i="10"/>
  <c r="H40" i="10"/>
  <c r="E40" i="10"/>
  <c r="F40" i="10"/>
  <c r="C40" i="10"/>
  <c r="D40" i="10"/>
  <c r="B40" i="10"/>
  <c r="O39" i="10"/>
  <c r="P39" i="10"/>
  <c r="M39" i="10"/>
  <c r="N39" i="10"/>
  <c r="K39" i="10"/>
  <c r="L39" i="10"/>
  <c r="I39" i="10"/>
  <c r="J39" i="10"/>
  <c r="G39" i="10"/>
  <c r="H39" i="10"/>
  <c r="E39" i="10"/>
  <c r="F39" i="10"/>
  <c r="C39" i="10"/>
  <c r="D39" i="10"/>
  <c r="B39" i="10"/>
  <c r="O38" i="10"/>
  <c r="P38" i="10"/>
  <c r="M38" i="10"/>
  <c r="N38" i="10"/>
  <c r="K38" i="10"/>
  <c r="L38" i="10"/>
  <c r="I38" i="10"/>
  <c r="J38" i="10"/>
  <c r="G38" i="10"/>
  <c r="H38" i="10"/>
  <c r="E38" i="10"/>
  <c r="F38" i="10"/>
  <c r="C38" i="10"/>
  <c r="D38" i="10"/>
  <c r="B38" i="10"/>
  <c r="O37" i="10"/>
  <c r="P37" i="10"/>
  <c r="M37" i="10"/>
  <c r="N37" i="10"/>
  <c r="K37" i="10"/>
  <c r="L37" i="10"/>
  <c r="I37" i="10"/>
  <c r="J37" i="10"/>
  <c r="G37" i="10"/>
  <c r="H37" i="10"/>
  <c r="E37" i="10"/>
  <c r="F37" i="10"/>
  <c r="C37" i="10"/>
  <c r="D37" i="10"/>
  <c r="B37" i="10"/>
  <c r="O36" i="10"/>
  <c r="P36" i="10"/>
  <c r="M36" i="10"/>
  <c r="N36" i="10"/>
  <c r="K36" i="10"/>
  <c r="L36" i="10"/>
  <c r="I36" i="10"/>
  <c r="J36" i="10"/>
  <c r="G36" i="10"/>
  <c r="H36" i="10"/>
  <c r="E36" i="10"/>
  <c r="F36" i="10"/>
  <c r="C36" i="10"/>
  <c r="D36" i="10"/>
  <c r="B36" i="10"/>
  <c r="O35" i="10"/>
  <c r="P35" i="10"/>
  <c r="M35" i="10"/>
  <c r="N35" i="10"/>
  <c r="K35" i="10"/>
  <c r="L35" i="10"/>
  <c r="I35" i="10"/>
  <c r="J35" i="10"/>
  <c r="G35" i="10"/>
  <c r="H35" i="10"/>
  <c r="E35" i="10"/>
  <c r="F35" i="10"/>
  <c r="C35" i="10"/>
  <c r="D35" i="10"/>
  <c r="B35" i="10"/>
  <c r="O34" i="10"/>
  <c r="P34" i="10"/>
  <c r="M34" i="10"/>
  <c r="N34" i="10"/>
  <c r="K34" i="10"/>
  <c r="L34" i="10"/>
  <c r="I34" i="10"/>
  <c r="J34" i="10"/>
  <c r="G34" i="10"/>
  <c r="H34" i="10"/>
  <c r="E34" i="10"/>
  <c r="F34" i="10"/>
  <c r="C34" i="10"/>
  <c r="D34" i="10"/>
  <c r="B34" i="10"/>
  <c r="O33" i="10"/>
  <c r="P33" i="10"/>
  <c r="M33" i="10"/>
  <c r="N33" i="10"/>
  <c r="K33" i="10"/>
  <c r="L33" i="10"/>
  <c r="I33" i="10"/>
  <c r="J33" i="10"/>
  <c r="G33" i="10"/>
  <c r="H33" i="10"/>
  <c r="E33" i="10"/>
  <c r="F33" i="10"/>
  <c r="C33" i="10"/>
  <c r="D33" i="10"/>
  <c r="B33" i="10"/>
  <c r="O32" i="10"/>
  <c r="P32" i="10"/>
  <c r="M32" i="10"/>
  <c r="N32" i="10"/>
  <c r="K32" i="10"/>
  <c r="L32" i="10"/>
  <c r="I32" i="10"/>
  <c r="J32" i="10"/>
  <c r="G32" i="10"/>
  <c r="H32" i="10"/>
  <c r="E32" i="10"/>
  <c r="F32" i="10"/>
  <c r="C32" i="10"/>
  <c r="D32" i="10"/>
  <c r="B32" i="10"/>
  <c r="O31" i="10"/>
  <c r="P31" i="10"/>
  <c r="M31" i="10"/>
  <c r="N31" i="10"/>
  <c r="K31" i="10"/>
  <c r="L31" i="10"/>
  <c r="I31" i="10"/>
  <c r="J31" i="10"/>
  <c r="G31" i="10"/>
  <c r="H31" i="10"/>
  <c r="E31" i="10"/>
  <c r="F31" i="10"/>
  <c r="C31" i="10"/>
  <c r="D31" i="10"/>
  <c r="B31" i="10"/>
  <c r="O30" i="10"/>
  <c r="P30" i="10"/>
  <c r="M30" i="10"/>
  <c r="N30" i="10"/>
  <c r="K30" i="10"/>
  <c r="L30" i="10"/>
  <c r="I30" i="10"/>
  <c r="J30" i="10"/>
  <c r="G30" i="10"/>
  <c r="H30" i="10"/>
  <c r="E30" i="10"/>
  <c r="F30" i="10"/>
  <c r="C30" i="10"/>
  <c r="D30" i="10"/>
  <c r="B30" i="10"/>
  <c r="O29" i="10"/>
  <c r="P29" i="10"/>
  <c r="M29" i="10"/>
  <c r="N29" i="10"/>
  <c r="K29" i="10"/>
  <c r="L29" i="10"/>
  <c r="I29" i="10"/>
  <c r="J29" i="10"/>
  <c r="G29" i="10"/>
  <c r="H29" i="10"/>
  <c r="E29" i="10"/>
  <c r="F29" i="10"/>
  <c r="C29" i="10"/>
  <c r="D29" i="10"/>
  <c r="B29" i="10"/>
  <c r="O28" i="10"/>
  <c r="P28" i="10"/>
  <c r="M28" i="10"/>
  <c r="N28" i="10"/>
  <c r="K28" i="10"/>
  <c r="L28" i="10"/>
  <c r="I28" i="10"/>
  <c r="J28" i="10"/>
  <c r="G28" i="10"/>
  <c r="H28" i="10"/>
  <c r="E28" i="10"/>
  <c r="F28" i="10"/>
  <c r="C28" i="10"/>
  <c r="D28" i="10"/>
  <c r="B28" i="10"/>
  <c r="O27" i="10"/>
  <c r="P27" i="10"/>
  <c r="M27" i="10"/>
  <c r="N27" i="10"/>
  <c r="K27" i="10"/>
  <c r="L27" i="10"/>
  <c r="I27" i="10"/>
  <c r="J27" i="10"/>
  <c r="G27" i="10"/>
  <c r="H27" i="10"/>
  <c r="E27" i="10"/>
  <c r="F27" i="10"/>
  <c r="C27" i="10"/>
  <c r="D27" i="10"/>
  <c r="B27" i="10"/>
  <c r="O26" i="10"/>
  <c r="P26" i="10"/>
  <c r="M26" i="10"/>
  <c r="N26" i="10"/>
  <c r="K26" i="10"/>
  <c r="L26" i="10"/>
  <c r="I26" i="10"/>
  <c r="J26" i="10"/>
  <c r="G26" i="10"/>
  <c r="H26" i="10"/>
  <c r="E26" i="10"/>
  <c r="F26" i="10"/>
  <c r="C26" i="10"/>
  <c r="D26" i="10"/>
  <c r="B26" i="10"/>
  <c r="O25" i="10"/>
  <c r="P25" i="10"/>
  <c r="M25" i="10"/>
  <c r="N25" i="10"/>
  <c r="K25" i="10"/>
  <c r="L25" i="10"/>
  <c r="I25" i="10"/>
  <c r="J25" i="10"/>
  <c r="G25" i="10"/>
  <c r="H25" i="10"/>
  <c r="E25" i="10"/>
  <c r="F25" i="10"/>
  <c r="C25" i="10"/>
  <c r="D25" i="10"/>
  <c r="B25" i="10"/>
  <c r="O24" i="10"/>
  <c r="P24" i="10"/>
  <c r="M24" i="10"/>
  <c r="N24" i="10"/>
  <c r="K24" i="10"/>
  <c r="L24" i="10"/>
  <c r="I24" i="10"/>
  <c r="J24" i="10"/>
  <c r="G24" i="10"/>
  <c r="H24" i="10"/>
  <c r="E24" i="10"/>
  <c r="F24" i="10"/>
  <c r="C24" i="10"/>
  <c r="D24" i="10"/>
  <c r="B24" i="10"/>
  <c r="O23" i="10"/>
  <c r="P23" i="10"/>
  <c r="M23" i="10"/>
  <c r="N23" i="10"/>
  <c r="K23" i="10"/>
  <c r="L23" i="10"/>
  <c r="I23" i="10"/>
  <c r="J23" i="10"/>
  <c r="G23" i="10"/>
  <c r="H23" i="10"/>
  <c r="E23" i="10"/>
  <c r="F23" i="10"/>
  <c r="C23" i="10"/>
  <c r="D23" i="10"/>
  <c r="B23" i="10"/>
  <c r="O22" i="10"/>
  <c r="P22" i="10"/>
  <c r="M22" i="10"/>
  <c r="N22" i="10"/>
  <c r="K22" i="10"/>
  <c r="L22" i="10"/>
  <c r="I22" i="10"/>
  <c r="J22" i="10"/>
  <c r="G22" i="10"/>
  <c r="H22" i="10"/>
  <c r="E22" i="10"/>
  <c r="F22" i="10"/>
  <c r="C22" i="10"/>
  <c r="D22" i="10"/>
  <c r="B22" i="10"/>
  <c r="O21" i="10"/>
  <c r="P21" i="10"/>
  <c r="M21" i="10"/>
  <c r="N21" i="10"/>
  <c r="K21" i="10"/>
  <c r="L21" i="10"/>
  <c r="I21" i="10"/>
  <c r="J21" i="10"/>
  <c r="G21" i="10"/>
  <c r="H21" i="10"/>
  <c r="E21" i="10"/>
  <c r="F21" i="10"/>
  <c r="C21" i="10"/>
  <c r="D21" i="10"/>
  <c r="B21" i="10"/>
  <c r="O20" i="10"/>
  <c r="P20" i="10"/>
  <c r="M20" i="10"/>
  <c r="N20" i="10"/>
  <c r="K20" i="10"/>
  <c r="L20" i="10"/>
  <c r="I20" i="10"/>
  <c r="J20" i="10"/>
  <c r="G20" i="10"/>
  <c r="H20" i="10"/>
  <c r="E20" i="10"/>
  <c r="F20" i="10"/>
  <c r="C20" i="10"/>
  <c r="D20" i="10"/>
  <c r="B20" i="10"/>
  <c r="O19" i="10"/>
  <c r="P19" i="10"/>
  <c r="M19" i="10"/>
  <c r="N19" i="10"/>
  <c r="K19" i="10"/>
  <c r="L19" i="10"/>
  <c r="I19" i="10"/>
  <c r="J19" i="10"/>
  <c r="G19" i="10"/>
  <c r="H19" i="10"/>
  <c r="E19" i="10"/>
  <c r="F19" i="10"/>
  <c r="C19" i="10"/>
  <c r="D19" i="10"/>
  <c r="B19" i="10"/>
  <c r="O18" i="10"/>
  <c r="P18" i="10"/>
  <c r="M18" i="10"/>
  <c r="N18" i="10"/>
  <c r="K18" i="10"/>
  <c r="L18" i="10"/>
  <c r="I18" i="10"/>
  <c r="J18" i="10"/>
  <c r="G18" i="10"/>
  <c r="H18" i="10"/>
  <c r="E18" i="10"/>
  <c r="F18" i="10"/>
  <c r="C18" i="10"/>
  <c r="D18" i="10"/>
  <c r="B18" i="10"/>
  <c r="O17" i="10"/>
  <c r="P17" i="10"/>
  <c r="M17" i="10"/>
  <c r="N17" i="10"/>
  <c r="K17" i="10"/>
  <c r="L17" i="10"/>
  <c r="I17" i="10"/>
  <c r="J17" i="10"/>
  <c r="G17" i="10"/>
  <c r="H17" i="10"/>
  <c r="E17" i="10"/>
  <c r="F17" i="10"/>
  <c r="C17" i="10"/>
  <c r="D17" i="10"/>
  <c r="B17" i="10"/>
  <c r="O16" i="10"/>
  <c r="P16" i="10"/>
  <c r="M16" i="10"/>
  <c r="N16" i="10"/>
  <c r="K16" i="10"/>
  <c r="L16" i="10"/>
  <c r="I16" i="10"/>
  <c r="J16" i="10"/>
  <c r="G16" i="10"/>
  <c r="H16" i="10"/>
  <c r="E16" i="10"/>
  <c r="F16" i="10"/>
  <c r="C16" i="10"/>
  <c r="D16" i="10"/>
  <c r="B16" i="10"/>
  <c r="O15" i="10"/>
  <c r="P15" i="10"/>
  <c r="M15" i="10"/>
  <c r="N15" i="10"/>
  <c r="K15" i="10"/>
  <c r="L15" i="10"/>
  <c r="I15" i="10"/>
  <c r="J15" i="10"/>
  <c r="G15" i="10"/>
  <c r="H15" i="10"/>
  <c r="E15" i="10"/>
  <c r="F15" i="10"/>
  <c r="C15" i="10"/>
  <c r="D15" i="10"/>
  <c r="B15" i="10"/>
  <c r="O14" i="10"/>
  <c r="P14" i="10"/>
  <c r="M14" i="10"/>
  <c r="N14" i="10"/>
  <c r="K14" i="10"/>
  <c r="L14" i="10"/>
  <c r="I14" i="10"/>
  <c r="J14" i="10"/>
  <c r="G14" i="10"/>
  <c r="H14" i="10"/>
  <c r="E14" i="10"/>
  <c r="F14" i="10"/>
  <c r="C14" i="10"/>
  <c r="D14" i="10"/>
  <c r="B14" i="10"/>
  <c r="O13" i="10"/>
  <c r="P13" i="10"/>
  <c r="M13" i="10"/>
  <c r="N13" i="10"/>
  <c r="K13" i="10"/>
  <c r="L13" i="10"/>
  <c r="I13" i="10"/>
  <c r="J13" i="10"/>
  <c r="G13" i="10"/>
  <c r="H13" i="10"/>
  <c r="E13" i="10"/>
  <c r="F13" i="10"/>
  <c r="C13" i="10"/>
  <c r="D13" i="10"/>
  <c r="B13" i="10"/>
  <c r="O12" i="10"/>
  <c r="P12" i="10"/>
  <c r="M12" i="10"/>
  <c r="N12" i="10"/>
  <c r="K12" i="10"/>
  <c r="L12" i="10"/>
  <c r="I12" i="10"/>
  <c r="J12" i="10"/>
  <c r="G12" i="10"/>
  <c r="H12" i="10"/>
  <c r="E12" i="10"/>
  <c r="F12" i="10"/>
  <c r="C12" i="10"/>
  <c r="D12" i="10"/>
  <c r="B12" i="10"/>
  <c r="O11" i="10"/>
  <c r="P11" i="10"/>
  <c r="M11" i="10"/>
  <c r="N11" i="10"/>
  <c r="K11" i="10"/>
  <c r="L11" i="10"/>
  <c r="I11" i="10"/>
  <c r="J11" i="10"/>
  <c r="G11" i="10"/>
  <c r="H11" i="10"/>
  <c r="E11" i="10"/>
  <c r="F11" i="10"/>
  <c r="C11" i="10"/>
  <c r="D11" i="10"/>
  <c r="B11" i="10"/>
  <c r="O10" i="10"/>
  <c r="P10" i="10"/>
  <c r="M10" i="10"/>
  <c r="N10" i="10"/>
  <c r="K10" i="10"/>
  <c r="L10" i="10"/>
  <c r="I10" i="10"/>
  <c r="J10" i="10"/>
  <c r="G10" i="10"/>
  <c r="H10" i="10"/>
  <c r="E10" i="10"/>
  <c r="F10" i="10"/>
  <c r="C10" i="10"/>
  <c r="D10" i="10"/>
  <c r="B10" i="10"/>
  <c r="O9" i="10"/>
  <c r="P9" i="10"/>
  <c r="M9" i="10"/>
  <c r="N9" i="10"/>
  <c r="K9" i="10"/>
  <c r="L9" i="10"/>
  <c r="I9" i="10"/>
  <c r="J9" i="10"/>
  <c r="G9" i="10"/>
  <c r="H9" i="10"/>
  <c r="E9" i="10"/>
  <c r="F9" i="10"/>
  <c r="C9" i="10"/>
  <c r="D9" i="10"/>
  <c r="B9" i="10"/>
  <c r="O8" i="10"/>
  <c r="P8" i="10"/>
  <c r="M8" i="10"/>
  <c r="N8" i="10"/>
  <c r="K8" i="10"/>
  <c r="L8" i="10"/>
  <c r="I8" i="10"/>
  <c r="J8" i="10"/>
  <c r="G8" i="10"/>
  <c r="H8" i="10"/>
  <c r="E8" i="10"/>
  <c r="F8" i="10"/>
  <c r="C8" i="10"/>
  <c r="D8" i="10"/>
  <c r="B8" i="10"/>
  <c r="P22" i="9"/>
  <c r="E25" i="8"/>
  <c r="D25" i="8"/>
  <c r="C25" i="8"/>
  <c r="E24" i="8"/>
  <c r="D24" i="8"/>
  <c r="C24" i="8"/>
  <c r="E23" i="8"/>
  <c r="D23" i="8"/>
  <c r="C23" i="8"/>
  <c r="E22" i="8"/>
  <c r="D22" i="8"/>
  <c r="C22" i="8"/>
  <c r="I21" i="8"/>
  <c r="E21" i="8"/>
  <c r="D21" i="8"/>
  <c r="C21" i="8"/>
  <c r="I20" i="8"/>
  <c r="E20" i="8"/>
  <c r="D20" i="8"/>
  <c r="C20" i="8"/>
  <c r="E19" i="8"/>
  <c r="D19" i="8"/>
  <c r="C19" i="8"/>
  <c r="E18" i="8"/>
  <c r="D18" i="8"/>
  <c r="C18" i="8"/>
  <c r="G17" i="8"/>
  <c r="E17" i="8"/>
  <c r="D17" i="8"/>
  <c r="C17" i="8"/>
  <c r="E16" i="8"/>
  <c r="C16" i="8"/>
  <c r="I13" i="8"/>
  <c r="G13" i="8"/>
  <c r="I12" i="8"/>
  <c r="G12" i="8"/>
  <c r="I11" i="8"/>
  <c r="G11" i="8"/>
  <c r="H10" i="8"/>
  <c r="D66" i="1"/>
  <c r="I5" i="8"/>
  <c r="H12" i="7"/>
  <c r="C38" i="7"/>
  <c r="C37" i="7"/>
  <c r="C36" i="7"/>
  <c r="C35" i="7"/>
  <c r="C34" i="7"/>
  <c r="C33" i="7"/>
  <c r="C32" i="7"/>
  <c r="C31" i="7"/>
  <c r="C30" i="7"/>
  <c r="G23" i="6"/>
  <c r="A66" i="6"/>
  <c r="C66" i="6"/>
  <c r="A65" i="6"/>
  <c r="C65" i="6"/>
  <c r="A64" i="6"/>
  <c r="C64" i="6"/>
  <c r="A63" i="6"/>
  <c r="C63" i="6"/>
  <c r="A62" i="6"/>
  <c r="C62" i="6"/>
  <c r="A61" i="6"/>
  <c r="C61" i="6"/>
  <c r="A60" i="6"/>
  <c r="C60" i="6"/>
  <c r="A59" i="6"/>
  <c r="C59" i="6"/>
  <c r="A58" i="6"/>
  <c r="C58" i="6"/>
  <c r="A57" i="6"/>
  <c r="C57" i="6"/>
  <c r="A56" i="6"/>
  <c r="C56" i="6"/>
  <c r="A55" i="6"/>
  <c r="C55" i="6"/>
  <c r="A54" i="6"/>
  <c r="C54" i="6"/>
  <c r="A53" i="6"/>
  <c r="C53" i="6"/>
  <c r="A52" i="6"/>
  <c r="C52" i="6"/>
  <c r="A51" i="6"/>
  <c r="C51" i="6"/>
  <c r="A50" i="6"/>
  <c r="C50" i="6"/>
  <c r="A49" i="6"/>
  <c r="C49" i="6"/>
  <c r="A48" i="6"/>
  <c r="C48" i="6"/>
  <c r="A47" i="6"/>
  <c r="C47" i="6"/>
  <c r="A46" i="6"/>
  <c r="C46" i="6"/>
  <c r="J23" i="6"/>
  <c r="G23" i="5"/>
  <c r="A61" i="5"/>
  <c r="C61" i="5"/>
  <c r="A60" i="5"/>
  <c r="C60" i="5"/>
  <c r="A59" i="5"/>
  <c r="C59" i="5"/>
  <c r="A58" i="5"/>
  <c r="C58" i="5"/>
  <c r="A57" i="5"/>
  <c r="C57" i="5"/>
  <c r="A56" i="5"/>
  <c r="C56" i="5"/>
  <c r="A55" i="5"/>
  <c r="C55" i="5"/>
  <c r="A54" i="5"/>
  <c r="C54" i="5"/>
  <c r="A53" i="5"/>
  <c r="C53" i="5"/>
  <c r="A52" i="5"/>
  <c r="C52" i="5"/>
  <c r="A51" i="5"/>
  <c r="C51" i="5"/>
  <c r="A50" i="5"/>
  <c r="C50" i="5"/>
  <c r="A49" i="5"/>
  <c r="C49" i="5"/>
  <c r="A48" i="5"/>
  <c r="C48" i="5"/>
  <c r="A47" i="5"/>
  <c r="C47" i="5"/>
  <c r="A46" i="5"/>
  <c r="C46" i="5"/>
  <c r="A45" i="5"/>
  <c r="C45" i="5"/>
  <c r="A44" i="5"/>
  <c r="C44" i="5"/>
  <c r="A43" i="5"/>
  <c r="C43" i="5"/>
  <c r="A42" i="5"/>
  <c r="C42" i="5"/>
  <c r="A41" i="5"/>
  <c r="C41" i="5"/>
  <c r="J23" i="5"/>
  <c r="I5" i="4"/>
  <c r="I3" i="4"/>
  <c r="D17" i="4"/>
  <c r="D16" i="4"/>
  <c r="D14" i="4"/>
  <c r="D13" i="4"/>
  <c r="D45" i="4"/>
  <c r="D48" i="4"/>
  <c r="P55" i="4"/>
  <c r="R55" i="4"/>
  <c r="P54" i="4"/>
  <c r="R54" i="4"/>
  <c r="P53" i="4"/>
  <c r="R53" i="4"/>
  <c r="P52" i="4"/>
  <c r="R52" i="4"/>
  <c r="P51" i="4"/>
  <c r="R51" i="4"/>
  <c r="P50" i="4"/>
  <c r="R50" i="4"/>
  <c r="P49" i="4"/>
  <c r="R49" i="4"/>
  <c r="P48" i="4"/>
  <c r="R48" i="4"/>
  <c r="P47" i="4"/>
  <c r="R47" i="4"/>
  <c r="P46" i="4"/>
  <c r="R46" i="4"/>
  <c r="P45" i="4"/>
  <c r="R45" i="4"/>
  <c r="P44" i="4"/>
  <c r="R44" i="4"/>
  <c r="P43" i="4"/>
  <c r="R43" i="4"/>
  <c r="P42" i="4"/>
  <c r="R42" i="4"/>
  <c r="P41" i="4"/>
  <c r="R41" i="4"/>
  <c r="P40" i="4"/>
  <c r="R40" i="4"/>
  <c r="P39" i="4"/>
  <c r="R39" i="4"/>
  <c r="P38" i="4"/>
  <c r="R38" i="4"/>
  <c r="P37" i="4"/>
  <c r="R37" i="4"/>
  <c r="P36" i="4"/>
  <c r="R36" i="4"/>
  <c r="P35" i="4"/>
  <c r="R35" i="4"/>
  <c r="M24" i="4"/>
  <c r="G23" i="3"/>
  <c r="A63" i="3"/>
  <c r="C63" i="3"/>
  <c r="A62" i="3"/>
  <c r="C62" i="3"/>
  <c r="A61" i="3"/>
  <c r="C61" i="3"/>
  <c r="A60" i="3"/>
  <c r="C60" i="3"/>
  <c r="A59" i="3"/>
  <c r="C59" i="3"/>
  <c r="A58" i="3"/>
  <c r="C58" i="3"/>
  <c r="A57" i="3"/>
  <c r="C57" i="3"/>
  <c r="A56" i="3"/>
  <c r="C56" i="3"/>
  <c r="A55" i="3"/>
  <c r="C55" i="3"/>
  <c r="A54" i="3"/>
  <c r="C54" i="3"/>
  <c r="A53" i="3"/>
  <c r="C53" i="3"/>
  <c r="A52" i="3"/>
  <c r="C52" i="3"/>
  <c r="A51" i="3"/>
  <c r="C51" i="3"/>
  <c r="A50" i="3"/>
  <c r="C50" i="3"/>
  <c r="A49" i="3"/>
  <c r="C49" i="3"/>
  <c r="A48" i="3"/>
  <c r="C48" i="3"/>
  <c r="A47" i="3"/>
  <c r="C47" i="3"/>
  <c r="A46" i="3"/>
  <c r="C46" i="3"/>
  <c r="A45" i="3"/>
  <c r="C45" i="3"/>
  <c r="A44" i="3"/>
  <c r="C44" i="3"/>
  <c r="A43" i="3"/>
  <c r="C43" i="3"/>
  <c r="J23" i="3"/>
  <c r="S67" i="1"/>
  <c r="D77" i="1"/>
  <c r="R53" i="1"/>
  <c r="V53" i="1"/>
  <c r="Y53" i="1"/>
  <c r="U44" i="1"/>
  <c r="T15" i="1"/>
  <c r="T13" i="1"/>
</calcChain>
</file>

<file path=xl/comments1.xml><?xml version="1.0" encoding="utf-8"?>
<comments xmlns="http://schemas.openxmlformats.org/spreadsheetml/2006/main">
  <authors>
    <author>Mauricio Martins</author>
    <author>Usuário do Microsoft Office</author>
    <author>.</author>
  </authors>
  <commentList>
    <comment ref="O2" authorId="0">
      <text>
        <r>
          <rPr>
            <b/>
            <sz val="8"/>
            <color indexed="81"/>
            <rFont val="Tahoma"/>
            <family val="2"/>
          </rPr>
          <t>É a perda de valor sofrida pelo bem ao longo dos anos.
    Se baseia nos seguintes princípios:
- Não pode ser recuparada com gastos de manutenção.
- As reparações podem apenas dilatar a durabilidade.
- um bem regularmente bem conservado deprecia-se de modo regular, enquanto um bem mal conservado deprecia-se mais rapidamente.</t>
        </r>
      </text>
    </comment>
    <comment ref="Y7" authorId="0">
      <text>
        <r>
          <rPr>
            <sz val="8"/>
            <color indexed="81"/>
            <rFont val="Tahoma"/>
            <family val="2"/>
          </rPr>
          <t>É o '</t>
        </r>
        <r>
          <rPr>
            <b/>
            <sz val="8"/>
            <color indexed="81"/>
            <rFont val="Tahoma"/>
            <family val="2"/>
          </rPr>
          <t>Valor de Novo</t>
        </r>
        <r>
          <rPr>
            <sz val="8"/>
            <color indexed="81"/>
            <rFont val="Tahoma"/>
            <family val="2"/>
          </rPr>
          <t>' depreciado conforme o método apresentado.</t>
        </r>
      </text>
    </comment>
    <comment ref="D12" authorId="0">
      <text>
        <r>
          <rPr>
            <b/>
            <sz val="8"/>
            <color indexed="81"/>
            <rFont val="Tahoma"/>
            <family val="2"/>
          </rPr>
          <t xml:space="preserve">Caso não se tenha a idade aparente em anos, esta deverá ser convertida para esta unidade.
Ex.: a idade em meses deverá ser dividida por 12.
</t>
        </r>
        <r>
          <rPr>
            <sz val="8"/>
            <color indexed="81"/>
            <rFont val="Tahoma"/>
            <family val="2"/>
          </rPr>
          <t xml:space="preserve">
</t>
        </r>
      </text>
    </comment>
    <comment ref="D13" authorId="0">
      <text>
        <r>
          <rPr>
            <b/>
            <sz val="8"/>
            <color indexed="81"/>
            <rFont val="Tahoma"/>
            <family val="2"/>
          </rPr>
          <t>Para facilitar a escolha da vida útil dos equipamentos, foi colocada numa pasta anexa (Vida Útil), a tabela de 'Depreciação e Obsolescência' adotada pelo Departamento de Tesouro dos EUA.</t>
        </r>
        <r>
          <rPr>
            <sz val="8"/>
            <color indexed="81"/>
            <rFont val="Tahoma"/>
            <family val="2"/>
          </rPr>
          <t xml:space="preserve">
</t>
        </r>
      </text>
    </comment>
    <comment ref="D14" authorId="0">
      <text>
        <r>
          <rPr>
            <b/>
            <sz val="8"/>
            <color indexed="81"/>
            <rFont val="Tahoma"/>
            <family val="2"/>
          </rPr>
          <t>Valor residual é o valor que se pode arbitrar ao equipamento após sua vida útil.</t>
        </r>
        <r>
          <rPr>
            <sz val="8"/>
            <color indexed="81"/>
            <rFont val="Tahoma"/>
            <family val="2"/>
          </rPr>
          <t xml:space="preserve">
</t>
        </r>
      </text>
    </comment>
    <comment ref="C18" authorId="0">
      <text>
        <r>
          <rPr>
            <b/>
            <sz val="8"/>
            <color indexed="81"/>
            <rFont val="Tahoma"/>
            <family val="2"/>
          </rPr>
          <t>Digitando o valor de novo, é calculado o valor atual para os diversos métodos de depreciação.</t>
        </r>
      </text>
    </comment>
    <comment ref="B22" authorId="0">
      <text>
        <r>
          <rPr>
            <b/>
            <sz val="8"/>
            <color indexed="10"/>
            <rFont val="Tahoma"/>
            <family val="2"/>
          </rPr>
          <t xml:space="preserve">Os cálculos, cometários e descrições, é cópia de trabalho efetuado pelos Engº Ivica Jancikic e André Jancikic </t>
        </r>
        <r>
          <rPr>
            <b/>
            <sz val="8"/>
            <color indexed="81"/>
            <rFont val="Tahoma"/>
            <family val="2"/>
          </rPr>
          <t xml:space="preserve">
</t>
        </r>
      </text>
    </comment>
    <comment ref="B30" authorId="0">
      <text>
        <r>
          <rPr>
            <b/>
            <sz val="8"/>
            <color indexed="81"/>
            <rFont val="Tahoma"/>
            <family val="2"/>
          </rPr>
          <t>Valor Atual, calculado pelo método de 'Hélio Roberto Caires'.</t>
        </r>
      </text>
    </comment>
    <comment ref="B35" authorId="0">
      <text>
        <r>
          <rPr>
            <b/>
            <sz val="8"/>
            <color indexed="81"/>
            <rFont val="Tahoma"/>
            <family val="2"/>
          </rPr>
          <t>Valor Atual, calculado pelo método de 'Ross'.</t>
        </r>
      </text>
    </comment>
    <comment ref="P35" authorId="0">
      <text>
        <r>
          <rPr>
            <b/>
            <sz val="8"/>
            <color indexed="10"/>
            <rFont val="Tahoma"/>
            <family val="2"/>
          </rPr>
          <t xml:space="preserve">Os cálculos, cometários e descrições, é cópia de trabalho efetuado pelos Engº Ivica Jancikic e André Jancikic </t>
        </r>
        <r>
          <rPr>
            <b/>
            <sz val="8"/>
            <color indexed="81"/>
            <rFont val="Tahoma"/>
            <family val="2"/>
          </rPr>
          <t xml:space="preserve">
</t>
        </r>
      </text>
    </comment>
    <comment ref="R37" authorId="0">
      <text>
        <r>
          <rPr>
            <b/>
            <sz val="8"/>
            <color indexed="81"/>
            <rFont val="Tahoma"/>
            <family val="2"/>
          </rPr>
          <t xml:space="preserve">Digite a opção correspondente, conforme quadro abaixo: 
</t>
        </r>
        <r>
          <rPr>
            <sz val="8"/>
            <color indexed="81"/>
            <rFont val="Tahoma"/>
            <family val="2"/>
          </rPr>
          <t>Fator de Trabalho à esquerda e 
Manutenção de Rotina e Previstas à direita.</t>
        </r>
      </text>
    </comment>
    <comment ref="B40" authorId="0">
      <text>
        <r>
          <rPr>
            <b/>
            <sz val="8"/>
            <color indexed="81"/>
            <rFont val="Tahoma"/>
            <family val="2"/>
          </rPr>
          <t>Valor Atual, calculado pelo método de Kuentzle.</t>
        </r>
      </text>
    </comment>
    <comment ref="B46" authorId="0">
      <text>
        <r>
          <rPr>
            <b/>
            <sz val="8"/>
            <color indexed="81"/>
            <rFont val="Tahoma"/>
            <family val="2"/>
          </rPr>
          <t>Valor Atual, calculado pelo método da 'Linha Reta'.</t>
        </r>
      </text>
    </comment>
    <comment ref="D50" authorId="1">
      <text>
        <r>
          <rPr>
            <b/>
            <sz val="10"/>
            <color indexed="81"/>
            <rFont val="Calibri"/>
          </rPr>
          <t>Digitar apenas as letras do quadro ao lado: a;b;c;d;e;f;g;h ou i.</t>
        </r>
        <r>
          <rPr>
            <sz val="10"/>
            <color indexed="81"/>
            <rFont val="Calibri"/>
          </rPr>
          <t xml:space="preserve">
</t>
        </r>
      </text>
    </comment>
    <comment ref="Y53" authorId="2">
      <text>
        <r>
          <rPr>
            <b/>
            <sz val="8"/>
            <color indexed="81"/>
            <rFont val="Tahoma"/>
            <family val="2"/>
          </rPr>
          <t>Valor Atual, calculado tomando-se como base os resultados de laboratório, dos testes de plomerização do papel isolante no local considerado ponto quente</t>
        </r>
      </text>
    </comment>
    <comment ref="P56" authorId="2">
      <text>
        <r>
          <rPr>
            <b/>
            <sz val="8"/>
            <color indexed="81"/>
            <rFont val="Tahoma"/>
            <family val="2"/>
          </rPr>
          <t>Indice de Criticidade: representa "o percentual do investimento que deve ser aplicado em manutençã, de modo a permitir o funcionamento de uma instalação com ÍNDICES DE DISPONIBILIDADE COMPATÍVEIS COM O EMPREENDIMENTO".</t>
        </r>
      </text>
    </comment>
    <comment ref="B61" authorId="0">
      <text>
        <r>
          <rPr>
            <b/>
            <sz val="8"/>
            <color indexed="81"/>
            <rFont val="Tahoma"/>
            <family val="2"/>
          </rPr>
          <t>Valor Atual, escolhido pelo método de Heidecke.</t>
        </r>
        <r>
          <rPr>
            <sz val="8"/>
            <color indexed="81"/>
            <rFont val="Tahoma"/>
            <family val="2"/>
          </rPr>
          <t xml:space="preserve">
</t>
        </r>
      </text>
    </comment>
    <comment ref="C66" authorId="0">
      <text>
        <r>
          <rPr>
            <b/>
            <sz val="8"/>
            <color indexed="81"/>
            <rFont val="Tahoma"/>
            <family val="2"/>
          </rPr>
          <t>Este valor está calculado dividindo-se a idade aparente pela vida útil adotada acima.</t>
        </r>
        <r>
          <rPr>
            <sz val="8"/>
            <color indexed="81"/>
            <rFont val="Tahoma"/>
            <family val="2"/>
          </rPr>
          <t xml:space="preserve">
</t>
        </r>
      </text>
    </comment>
    <comment ref="K66" authorId="0">
      <text>
        <r>
          <rPr>
            <b/>
            <sz val="8"/>
            <color indexed="81"/>
            <rFont val="Tahoma"/>
            <family val="2"/>
          </rPr>
          <t>Valor Atual calculado pelos método de 'Ross-Heidecke'</t>
        </r>
        <r>
          <rPr>
            <sz val="8"/>
            <color indexed="81"/>
            <rFont val="Tahoma"/>
            <family val="2"/>
          </rPr>
          <t xml:space="preserve">
</t>
        </r>
      </text>
    </comment>
    <comment ref="S67" authorId="2">
      <text>
        <r>
          <rPr>
            <b/>
            <sz val="8"/>
            <color indexed="81"/>
            <rFont val="Tahoma"/>
            <family val="2"/>
          </rPr>
          <t>Este campo é digitado na célula "D13", idade aparente.</t>
        </r>
      </text>
    </comment>
    <comment ref="Y69" authorId="0">
      <text>
        <r>
          <rPr>
            <b/>
            <sz val="8"/>
            <color indexed="81"/>
            <rFont val="Tahoma"/>
            <family val="2"/>
          </rPr>
          <t>Valor Atual, calculado pelo "Índice de Criticidade"</t>
        </r>
      </text>
    </comment>
    <comment ref="B72" authorId="2">
      <text>
        <r>
          <rPr>
            <sz val="9"/>
            <color indexed="81"/>
            <rFont val="Tahoma"/>
            <family val="2"/>
          </rPr>
          <t xml:space="preserve">A medida que o transformador permanece em operação, há o seu natural aquecimento, fator que conjugado com umidade e oxigênio que permanece impregnado no óleo isolante provoca deterioração da isolação.
A vida útil do transformador é determinada pela condição da isolação no seu ponto mais quente, normalmente localizado nas partes mais internas e na região superior dos enrolamentos.
Para o cálculo da vida do transformador e da vida reamanescente, são coletadas amostras desses locais e comparados os resultados do </t>
        </r>
        <r>
          <rPr>
            <b/>
            <sz val="9"/>
            <color indexed="81"/>
            <rFont val="Tahoma"/>
            <family val="2"/>
          </rPr>
          <t xml:space="preserve">Grau de Polimerização </t>
        </r>
        <r>
          <rPr>
            <sz val="9"/>
            <color indexed="81"/>
            <rFont val="Tahoma"/>
            <family val="2"/>
          </rPr>
          <t xml:space="preserve">do papel isolante com parâmetros de referência de isolações novas e em fim de vida útil. Quanto mais deteriorado estiver o papel isolante, menor a sua capacidade de suportar pequenos esforços mecânicos e eletrodinâmicos que atuam no funcionamento normal do transformador. </t>
        </r>
      </text>
    </comment>
    <comment ref="D75" authorId="2">
      <text>
        <r>
          <rPr>
            <b/>
            <sz val="8"/>
            <color indexed="81"/>
            <rFont val="Tahoma"/>
            <family val="2"/>
          </rPr>
          <t xml:space="preserve">Valor variável de 1100 a 900
</t>
        </r>
      </text>
    </comment>
    <comment ref="D76" authorId="2">
      <text>
        <r>
          <rPr>
            <b/>
            <sz val="8"/>
            <color indexed="81"/>
            <rFont val="Tahoma"/>
            <family val="2"/>
          </rPr>
          <t>Valor variável de 200 a 150</t>
        </r>
      </text>
    </comment>
    <comment ref="D77" authorId="2">
      <text>
        <r>
          <rPr>
            <b/>
            <sz val="8"/>
            <color indexed="81"/>
            <rFont val="Tahoma"/>
            <family val="2"/>
          </rPr>
          <t>este valor poderá ser digitado somente na linha 15 desta planilha.</t>
        </r>
      </text>
    </comment>
    <comment ref="D78" authorId="2">
      <text>
        <r>
          <rPr>
            <b/>
            <sz val="8"/>
            <color indexed="81"/>
            <rFont val="Tahoma"/>
            <family val="2"/>
          </rPr>
          <t>Resultado do teste de labaratório</t>
        </r>
      </text>
    </comment>
  </commentList>
</comments>
</file>

<file path=xl/comments2.xml><?xml version="1.0" encoding="utf-8"?>
<comments xmlns="http://schemas.openxmlformats.org/spreadsheetml/2006/main">
  <authors>
    <author>Mauricio Martins</author>
  </authors>
  <commentList>
    <comment ref="C3" authorId="0">
      <text>
        <r>
          <rPr>
            <b/>
            <sz val="8"/>
            <color indexed="81"/>
            <rFont val="Tahoma"/>
            <family val="2"/>
          </rPr>
          <t>Cálculo de Depreciação pelo Método do engenheiro Hélio Roberto Caires.
      A formula do Engenheiro Hélio Roberto Caires foi desenvolvida, visando se obter UMA FUNÇÃO GENÉRICA DE VIDA para atender, através de variabilidade de ajuste aproximado, indiscriminadamente as diversas espécies de bens, notadamente máquinas. Através da variação de seus elementos, no caso com ajuste, através de “” = “fator de carga de trabalho” e “” = “fator de qualidade de manutenção” em função dos dados do equipamento, estabelece uma relação de semelhança relativa a qual possa guardar o maior grau de coerência possível.</t>
        </r>
      </text>
    </comment>
    <comment ref="C11" authorId="0">
      <text>
        <r>
          <rPr>
            <b/>
            <sz val="8"/>
            <color indexed="81"/>
            <rFont val="Tahoma"/>
            <family val="2"/>
          </rPr>
          <t>“” Fator de Manutenção: Leva em conta as manutenções de rotina, programadas e preventivas pelos fabricantes dos equipamentos e componentes; de acordo com as informações obtidas do Segurado. O fator de manutenção é denominado de “” e seu valor é pontuado de acordo com a qualidade das manutenções praticadas (ver a tabela a seguir).</t>
        </r>
      </text>
    </comment>
    <comment ref="C12" authorId="0">
      <text>
        <r>
          <rPr>
            <b/>
            <sz val="8"/>
            <color indexed="81"/>
            <rFont val="Tahoma"/>
            <family val="2"/>
          </rPr>
          <t>“” Fator de trabalho: Tem a função de levar em conta as condições de carga de trabalho do equipamento ( dentro das condições especificadas e construtivas, acima, abaixo, regime continuo, intermitente, constantes acionamentos e paradas, rotação alta e/ou baixa etc.), associando-se considerações sobre condições ambientais (temperaturas, acidez, agentes de corrosão); fator de precisão (relacionado com produtos descartados) etc. Este item é pontuado e denominado pela letra “” (ver a tabela a seguir).</t>
        </r>
      </text>
    </comment>
    <comment ref="C13" authorId="0">
      <text>
        <r>
          <rPr>
            <b/>
            <sz val="8"/>
            <color indexed="81"/>
            <rFont val="Tahoma"/>
            <family val="2"/>
          </rPr>
          <t>“t” Idade operacional: Equivale a soma dos tempos de uso do equipamento</t>
        </r>
      </text>
    </comment>
    <comment ref="C14" authorId="0">
      <text>
        <r>
          <rPr>
            <b/>
            <sz val="8"/>
            <color indexed="81"/>
            <rFont val="Tahoma"/>
            <family val="2"/>
          </rPr>
          <t>“” Vida útil esperada: De acordo com as tabelas publicadas e / ou dados específicos dos fabricantes. Leva em conta a capacidade de trabalho que decresce com o tempo obedecendo à 03 (três) ciclos: amaciamento (máquina nova em ajuste mecânico tende a melhorar as características com o tempo resultando na melhoria do conjunto); operação em funcionamento confiável (com desgaste normal e lento durante o período de vida operacional) e deficitário, o conjunto vai perdendo sua capacidade operacional até o ponto em que deverá sofrer recondicionamento (se admite tal) para evitar o colapso. Após uma série deles o colapso é inevitável. (vida útil dentro da faixa).</t>
        </r>
      </text>
    </comment>
    <comment ref="C20" authorId="0">
      <text>
        <r>
          <rPr>
            <b/>
            <sz val="8"/>
            <color indexed="81"/>
            <rFont val="Tahoma"/>
            <family val="2"/>
          </rPr>
          <t>“” Fator de Manutenção: Leva em conta as manutenções de rotina, programadas e preventivas pelos fabricantes dos equipamentos e componentes; de acordo com as informações obtidas do Segurado. O fator de manutenção é denominado de “” e seu valor é pontuado de acordo com a qualidade das manutenções praticadas (ver a tabela a seguir).</t>
        </r>
      </text>
    </comment>
    <comment ref="C27" authorId="0">
      <text>
        <r>
          <rPr>
            <b/>
            <sz val="8"/>
            <color indexed="81"/>
            <rFont val="Tahoma"/>
            <family val="2"/>
          </rPr>
          <t>“” Fator de trabalho: Tem a função de levar em conta as condições de carga de trabalho do equipamento ( dentro das condições especificadas e construtivas, acima, abaixo, regime continuo, intermitente, constantes acionamentos e paradas, rotação alta e/ou baixa etc.), associando-se considerações sobre condições ambientais (temperaturas, acidez, agentes de corrosão); fator de precisão (relacionado com produtos descartados) etc. Este item é pontuado e denominado pela letra “” (ver a tabela a seguir).</t>
        </r>
        <r>
          <rPr>
            <sz val="8"/>
            <color indexed="81"/>
            <rFont val="Tahoma"/>
            <family val="2"/>
          </rPr>
          <t xml:space="preserve">
</t>
        </r>
      </text>
    </comment>
  </commentList>
</comments>
</file>

<file path=xl/sharedStrings.xml><?xml version="1.0" encoding="utf-8"?>
<sst xmlns="http://schemas.openxmlformats.org/spreadsheetml/2006/main" count="319" uniqueCount="147">
  <si>
    <t>Depreciação Física</t>
  </si>
  <si>
    <t>Obs.: digitar somente os campos verdes</t>
  </si>
  <si>
    <t>Valor de Novo</t>
  </si>
  <si>
    <t>Valor Atual</t>
  </si>
  <si>
    <t>Dados para:</t>
  </si>
  <si>
    <t>Linha Reta</t>
  </si>
  <si>
    <t>d =</t>
  </si>
  <si>
    <t>%</t>
  </si>
  <si>
    <t>Kuentzle</t>
  </si>
  <si>
    <t>Ross</t>
  </si>
  <si>
    <t>t</t>
  </si>
  <si>
    <t>idade aparente (anos)</t>
  </si>
  <si>
    <t>n</t>
  </si>
  <si>
    <t>vida útil (anos)</t>
  </si>
  <si>
    <t>r</t>
  </si>
  <si>
    <t>valor residual (%)</t>
  </si>
  <si>
    <t>Heidecke</t>
  </si>
  <si>
    <t xml:space="preserve">d = </t>
  </si>
  <si>
    <t>estado</t>
  </si>
  <si>
    <t>Opção =</t>
  </si>
  <si>
    <t>b</t>
  </si>
  <si>
    <t>a</t>
  </si>
  <si>
    <t>novo</t>
  </si>
  <si>
    <t>entre novo e regular</t>
  </si>
  <si>
    <t>c</t>
  </si>
  <si>
    <t>regular</t>
  </si>
  <si>
    <t>d</t>
  </si>
  <si>
    <t>entre regular e reparos simples</t>
  </si>
  <si>
    <t>e</t>
  </si>
  <si>
    <t>reparos simples</t>
  </si>
  <si>
    <t>f</t>
  </si>
  <si>
    <t>entre reparos simples e importantes</t>
  </si>
  <si>
    <t>g</t>
  </si>
  <si>
    <t>reparos importantes</t>
  </si>
  <si>
    <t>h</t>
  </si>
  <si>
    <t>entre reparos importantes e sem valor</t>
  </si>
  <si>
    <t>i</t>
  </si>
  <si>
    <t>sem valor</t>
  </si>
  <si>
    <t>Ross-Heidecke</t>
  </si>
  <si>
    <t>% de vida útil =</t>
  </si>
  <si>
    <t>Hélio Caires</t>
  </si>
  <si>
    <t>&lt;= Opção =&gt;</t>
  </si>
  <si>
    <t>Fator de Trabalho</t>
  </si>
  <si>
    <t>Manut. de Rotina Previstas</t>
  </si>
  <si>
    <t>Nulo</t>
  </si>
  <si>
    <t>Inexistente</t>
  </si>
  <si>
    <t>Leve</t>
  </si>
  <si>
    <t>Sofrível</t>
  </si>
  <si>
    <t>Normal</t>
  </si>
  <si>
    <t xml:space="preserve">Pesado </t>
  </si>
  <si>
    <t>Rigorosa</t>
  </si>
  <si>
    <t>Extremo</t>
  </si>
  <si>
    <t>Perfeita</t>
  </si>
  <si>
    <t>Depreciação de Transformadores pelo Grau de Polimerização do Papel Isolante</t>
  </si>
  <si>
    <t xml:space="preserve">GP do papel isolante Novo </t>
  </si>
  <si>
    <t>GP =</t>
  </si>
  <si>
    <t xml:space="preserve">GP da isolação em Fim de vida útil  </t>
  </si>
  <si>
    <t xml:space="preserve">r = </t>
  </si>
  <si>
    <t>Grau de polimerização no local considerado ponto quente</t>
  </si>
  <si>
    <t>Criticidade</t>
  </si>
  <si>
    <t>Variáveis</t>
  </si>
  <si>
    <t>Indice de Criticidade</t>
  </si>
  <si>
    <t>C</t>
  </si>
  <si>
    <t>Complexidade tecnológica</t>
  </si>
  <si>
    <t>0 a 2</t>
  </si>
  <si>
    <t>Importância do equipamento no processo</t>
  </si>
  <si>
    <t>0 a 3</t>
  </si>
  <si>
    <t>Equipamento nacional ou importado (sem SAV)</t>
  </si>
  <si>
    <t>0 a 1</t>
  </si>
  <si>
    <t>Taxa de falhas</t>
  </si>
  <si>
    <t>Tempo de operação / Jornada de trabalho</t>
  </si>
  <si>
    <t>Montante do investimento</t>
  </si>
  <si>
    <t>Índice Total</t>
  </si>
  <si>
    <t>S</t>
  </si>
  <si>
    <t>Anos em Operação</t>
  </si>
  <si>
    <t xml:space="preserve">Método de Ross </t>
  </si>
  <si>
    <r>
      <t>d = (1 - r)/2 x [(t / n)</t>
    </r>
    <r>
      <rPr>
        <b/>
        <vertAlign val="superscript"/>
        <sz val="10"/>
        <rFont val="Arial"/>
        <family val="2"/>
      </rPr>
      <t>2</t>
    </r>
    <r>
      <rPr>
        <b/>
        <sz val="10"/>
        <rFont val="Arial"/>
        <family val="2"/>
      </rPr>
      <t xml:space="preserve"> + t / n]</t>
    </r>
  </si>
  <si>
    <t xml:space="preserve">   d = fator de depreciação;</t>
  </si>
  <si>
    <t xml:space="preserve">   t = idade aparente (anos);</t>
  </si>
  <si>
    <t xml:space="preserve">   n = vida útil (anos);</t>
  </si>
  <si>
    <t xml:space="preserve">   r = valor residual ( % ).</t>
  </si>
  <si>
    <t>Adotado:</t>
  </si>
  <si>
    <t xml:space="preserve">t = </t>
  </si>
  <si>
    <t xml:space="preserve">n = </t>
  </si>
  <si>
    <t>Calculado:</t>
  </si>
  <si>
    <t>Valor de novo =</t>
  </si>
  <si>
    <t xml:space="preserve">Valor Atual = </t>
  </si>
  <si>
    <t>Hélio Roberto Caires</t>
  </si>
  <si>
    <t>Calculado</t>
  </si>
  <si>
    <t xml:space="preserve">Depreciação   = </t>
  </si>
  <si>
    <t>Adotado</t>
  </si>
  <si>
    <t>Fator de Manutenção</t>
  </si>
  <si>
    <t>Idade Operacional</t>
  </si>
  <si>
    <t>Vida útil</t>
  </si>
  <si>
    <t>Valor Atual =</t>
  </si>
  <si>
    <t>Manutenções de Rotina Previstas</t>
  </si>
  <si>
    <t xml:space="preserve">A = </t>
  </si>
  <si>
    <t xml:space="preserve">B = </t>
  </si>
  <si>
    <t xml:space="preserve">    A - 1</t>
  </si>
  <si>
    <t xml:space="preserve">C = </t>
  </si>
  <si>
    <t xml:space="preserve">e = </t>
  </si>
  <si>
    <t>idade operacional (anos)</t>
  </si>
  <si>
    <t>vida útil esperada</t>
  </si>
  <si>
    <t>Cálculo da função</t>
  </si>
  <si>
    <t>Fator de manutenção</t>
  </si>
  <si>
    <t>Fator de trabalho</t>
  </si>
  <si>
    <t>A =</t>
  </si>
  <si>
    <t>B = (a-1) =</t>
  </si>
  <si>
    <t xml:space="preserve">mi = </t>
  </si>
  <si>
    <t>f (m,t) =</t>
  </si>
  <si>
    <t>d = t x (1-r)/n</t>
  </si>
  <si>
    <t>Método de Kuentzle</t>
  </si>
  <si>
    <r>
      <t>d =( 1 - r ) x ( t / n )</t>
    </r>
    <r>
      <rPr>
        <b/>
        <vertAlign val="superscript"/>
        <sz val="10"/>
        <rFont val="Arial"/>
        <family val="2"/>
      </rPr>
      <t>2</t>
    </r>
  </si>
  <si>
    <t>O critério de Heidecke é baseado nos seguintes princípios:</t>
  </si>
  <si>
    <t>a depreciação é a perda de valor que não pode ser recuperada com gastos de manutenção;</t>
  </si>
  <si>
    <t>as reparações podem apenas dilatar a durabilidade;</t>
  </si>
  <si>
    <t>um bem regularmente conservado deprecia-se de modo regular, enquanto que um bem mal conservado deprecia-se mais rapidamente;</t>
  </si>
  <si>
    <t>Depreciação</t>
  </si>
  <si>
    <t>Combina o estado de conservação com a idade em percentual da vida útil</t>
  </si>
  <si>
    <t xml:space="preserve">% de vida útil = </t>
  </si>
  <si>
    <t>d=(100-K)/100</t>
  </si>
  <si>
    <t>k = Tabelado</t>
  </si>
  <si>
    <t xml:space="preserve">   r = valor residual (decimal).</t>
  </si>
  <si>
    <t>Opção</t>
  </si>
  <si>
    <t xml:space="preserve">VN = </t>
  </si>
  <si>
    <t xml:space="preserve">VA = </t>
  </si>
  <si>
    <r>
      <t xml:space="preserve">Indice de Criticidade: </t>
    </r>
    <r>
      <rPr>
        <sz val="12"/>
        <color theme="1"/>
        <rFont val="Calibri"/>
        <family val="2"/>
        <scheme val="minor"/>
      </rPr>
      <t>representa "o percentual do investimento que deve ser aplicado em manutenção, de modo a permitir o funcionamento de uma instalação com ÍNDICES DE DISPONIBILIDADE COMPATÍVEIS COM O EMPREENDIMENTO".</t>
    </r>
  </si>
  <si>
    <t>A depreciação física é calculada com os valores de criticidade (corrigida ou não) através do modelo:</t>
  </si>
  <si>
    <r>
      <t xml:space="preserve">V </t>
    </r>
    <r>
      <rPr>
        <b/>
        <vertAlign val="subscript"/>
        <sz val="10"/>
        <rFont val="Arial"/>
        <family val="2"/>
      </rPr>
      <t xml:space="preserve">dep = </t>
    </r>
  </si>
  <si>
    <r>
      <t xml:space="preserve">V </t>
    </r>
    <r>
      <rPr>
        <b/>
        <vertAlign val="subscript"/>
        <sz val="10"/>
        <rFont val="Arial"/>
        <family val="2"/>
      </rPr>
      <t xml:space="preserve">dep </t>
    </r>
    <r>
      <rPr>
        <b/>
        <sz val="10"/>
        <rFont val="Arial"/>
        <family val="2"/>
      </rPr>
      <t xml:space="preserve">= </t>
    </r>
  </si>
  <si>
    <t>V novo</t>
  </si>
  <si>
    <r>
      <t>( 1 + C / 100)</t>
    </r>
    <r>
      <rPr>
        <b/>
        <vertAlign val="superscript"/>
        <sz val="10"/>
        <rFont val="Arial"/>
        <family val="2"/>
      </rPr>
      <t>n</t>
    </r>
  </si>
  <si>
    <t>onde:</t>
  </si>
  <si>
    <r>
      <t xml:space="preserve">    </t>
    </r>
    <r>
      <rPr>
        <b/>
        <sz val="10"/>
        <rFont val="Arial"/>
        <family val="2"/>
      </rPr>
      <t>n</t>
    </r>
    <r>
      <rPr>
        <sz val="12"/>
        <color theme="1"/>
        <rFont val="Calibri"/>
        <family val="2"/>
        <scheme val="minor"/>
      </rPr>
      <t xml:space="preserve"> é o número de anos de operação (idade)</t>
    </r>
  </si>
  <si>
    <r>
      <t xml:space="preserve">    </t>
    </r>
    <r>
      <rPr>
        <b/>
        <sz val="10"/>
        <rFont val="Arial"/>
        <family val="2"/>
      </rPr>
      <t>C</t>
    </r>
    <r>
      <rPr>
        <sz val="12"/>
        <color theme="1"/>
        <rFont val="Calibri"/>
        <family val="2"/>
        <scheme val="minor"/>
      </rPr>
      <t xml:space="preserve"> é a criticidade máxima do período conforme tabela</t>
    </r>
  </si>
  <si>
    <t>Obs.: Os valores do índice de criticidade poderão ser corrigidos em função de dados disponíveis da manutenção praticada.</t>
  </si>
  <si>
    <r>
      <t xml:space="preserve">Tabela </t>
    </r>
    <r>
      <rPr>
        <b/>
        <sz val="14"/>
        <rFont val="Arial"/>
        <family val="2"/>
      </rPr>
      <t xml:space="preserve">K </t>
    </r>
  </si>
  <si>
    <t xml:space="preserve">Relatório Comparativo de Depreciação </t>
  </si>
  <si>
    <t>Descrição do Bem Avaliado:</t>
  </si>
  <si>
    <t>Valor do Novo:</t>
  </si>
  <si>
    <t>Método Utilizado</t>
  </si>
  <si>
    <t>Tabela de Calculo de Depreciação Física</t>
  </si>
  <si>
    <t>Dados do Bem:</t>
  </si>
  <si>
    <t>Descrição:</t>
  </si>
  <si>
    <t>%   Depreciação</t>
  </si>
  <si>
    <t>Valore Atual</t>
  </si>
  <si>
    <r>
      <t xml:space="preserve">Valor Residual </t>
    </r>
    <r>
      <rPr>
        <sz val="12"/>
        <color indexed="55"/>
        <rFont val="Arial"/>
        <family val="2"/>
      </rPr>
      <t>(digitar % na linha 15 desta planilha)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</si>
</sst>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R$&quot;* #,##0.00_-;\-&quot;R$&quot;* #,##0.00_-;_-&quot;R$&quot;* &quot;-&quot;??_-;_-@_-"/>
    <numFmt numFmtId="43" formatCode="_-* #,##0.00_-;\-* #,##0.00_-;_-* &quot;-&quot;??_-;_-@_-"/>
    <numFmt numFmtId="164" formatCode="_(* #,##0.00_);_(* \(#,##0.00\);_(* &quot;-&quot;??_);_(@_)"/>
    <numFmt numFmtId="165" formatCode="_(* #,##0.00000_);_(* \(#,##0.00000\);_(* &quot;-&quot;??_);_(@_)"/>
    <numFmt numFmtId="166" formatCode="#,##0.000"/>
    <numFmt numFmtId="167" formatCode="_(* #,##0_);_(* \(#,##0\);_(* &quot;-&quot;??_);_(@_)"/>
    <numFmt numFmtId="168" formatCode="_(* #,##0.0000_);_(* \(#,##0.0000\);_(* &quot;-&quot;??_);_(@_)"/>
    <numFmt numFmtId="169" formatCode="_(* #,##0.000_);_(* \(#,##0.000\);_(* &quot;-&quot;??_);_(@_)"/>
    <numFmt numFmtId="170" formatCode="_(* #,##0.0_);_(* \(#,##0.0\);_(* &quot;-&quot;?_);_(@_)"/>
    <numFmt numFmtId="171" formatCode="0.00000%"/>
    <numFmt numFmtId="172" formatCode="_(* #,##0.000000000_);_(* \(#,##0.000000000\);_(* &quot;-&quot;??_);_(@_)"/>
    <numFmt numFmtId="173" formatCode="_(* #,##0.0_);_(* \(#,##0.0\);_(* &quot;-&quot;??_);_(@_)"/>
    <numFmt numFmtId="174" formatCode="0.00000"/>
    <numFmt numFmtId="175" formatCode="0.0000"/>
  </numFmts>
  <fonts count="49" x14ac:knownFonts="1">
    <font>
      <sz val="12"/>
      <color theme="1"/>
      <name val="Calibri"/>
      <family val="2"/>
      <scheme val="minor"/>
    </font>
    <font>
      <sz val="12"/>
      <color theme="1"/>
      <name val="Calibri"/>
      <family val="2"/>
      <scheme val="minor"/>
    </font>
    <font>
      <sz val="12"/>
      <color theme="1"/>
      <name val="Calibri"/>
      <family val="2"/>
      <scheme val="minor"/>
    </font>
    <font>
      <sz val="8"/>
      <color indexed="61"/>
      <name val="Arial"/>
      <family val="2"/>
    </font>
    <font>
      <b/>
      <sz val="16"/>
      <name val="Arial"/>
      <family val="2"/>
    </font>
    <font>
      <b/>
      <sz val="13"/>
      <color indexed="10"/>
      <name val="Arial"/>
      <family val="2"/>
    </font>
    <font>
      <b/>
      <sz val="10"/>
      <name val="Arial"/>
      <family val="2"/>
    </font>
    <font>
      <sz val="10"/>
      <name val="Arial"/>
    </font>
    <font>
      <b/>
      <sz val="14"/>
      <name val="Arial"/>
      <family val="2"/>
    </font>
    <font>
      <b/>
      <sz val="10"/>
      <color indexed="10"/>
      <name val="Arial"/>
      <family val="2"/>
    </font>
    <font>
      <sz val="8"/>
      <name val="Arial"/>
      <family val="2"/>
    </font>
    <font>
      <sz val="10"/>
      <color indexed="12"/>
      <name val="Arial"/>
      <family val="2"/>
    </font>
    <font>
      <sz val="10"/>
      <color indexed="10"/>
      <name val="Arial"/>
      <family val="2"/>
    </font>
    <font>
      <b/>
      <sz val="10"/>
      <color indexed="9"/>
      <name val="Arial"/>
      <family val="2"/>
    </font>
    <font>
      <b/>
      <sz val="12"/>
      <name val="Symbol"/>
      <family val="1"/>
      <charset val="2"/>
    </font>
    <font>
      <b/>
      <sz val="8"/>
      <color indexed="81"/>
      <name val="Tahoma"/>
      <family val="2"/>
    </font>
    <font>
      <sz val="8"/>
      <color indexed="81"/>
      <name val="Tahoma"/>
      <family val="2"/>
    </font>
    <font>
      <b/>
      <sz val="8"/>
      <color indexed="10"/>
      <name val="Tahoma"/>
      <family val="2"/>
    </font>
    <font>
      <sz val="9"/>
      <color indexed="81"/>
      <name val="Tahoma"/>
      <family val="2"/>
    </font>
    <font>
      <b/>
      <sz val="9"/>
      <color indexed="81"/>
      <name val="Tahoma"/>
      <family val="2"/>
    </font>
    <font>
      <b/>
      <vertAlign val="superscript"/>
      <sz val="10"/>
      <name val="Arial"/>
      <family val="2"/>
    </font>
    <font>
      <sz val="9"/>
      <name val="Arial"/>
      <family val="2"/>
    </font>
    <font>
      <b/>
      <sz val="12"/>
      <name val="Arial"/>
      <family val="2"/>
    </font>
    <font>
      <b/>
      <sz val="12"/>
      <color indexed="22"/>
      <name val="Arial"/>
      <family val="2"/>
    </font>
    <font>
      <sz val="10"/>
      <color indexed="22"/>
      <name val="Arial"/>
      <family val="2"/>
    </font>
    <font>
      <sz val="10"/>
      <color indexed="9"/>
      <name val="Arial"/>
      <family val="2"/>
    </font>
    <font>
      <i/>
      <sz val="10"/>
      <name val="Arial"/>
      <family val="2"/>
    </font>
    <font>
      <sz val="10"/>
      <color indexed="17"/>
      <name val="Arial"/>
      <family val="2"/>
    </font>
    <font>
      <b/>
      <sz val="10"/>
      <color indexed="12"/>
      <name val="Arial"/>
      <family val="2"/>
    </font>
    <font>
      <b/>
      <sz val="10"/>
      <color indexed="17"/>
      <name val="Arial"/>
      <family val="2"/>
    </font>
    <font>
      <b/>
      <sz val="10"/>
      <color indexed="61"/>
      <name val="Arial"/>
      <family val="2"/>
    </font>
    <font>
      <sz val="14"/>
      <name val="Symbol"/>
      <family val="1"/>
      <charset val="2"/>
    </font>
    <font>
      <b/>
      <sz val="12"/>
      <color indexed="9"/>
      <name val="Arial"/>
      <family val="2"/>
    </font>
    <font>
      <b/>
      <vertAlign val="subscript"/>
      <sz val="10"/>
      <name val="Arial"/>
      <family val="2"/>
    </font>
    <font>
      <b/>
      <sz val="10"/>
      <color indexed="22"/>
      <name val="Arial"/>
      <family val="2"/>
    </font>
    <font>
      <b/>
      <sz val="12"/>
      <color theme="1"/>
      <name val="Calibri"/>
      <family val="2"/>
      <scheme val="minor"/>
    </font>
    <font>
      <sz val="16"/>
      <color theme="1"/>
      <name val="Calibri"/>
      <family val="2"/>
      <scheme val="minor"/>
    </font>
    <font>
      <b/>
      <sz val="22"/>
      <color theme="1"/>
      <name val="Calibri"/>
      <scheme val="minor"/>
    </font>
    <font>
      <b/>
      <sz val="16"/>
      <color theme="1"/>
      <name val="Calibri"/>
      <scheme val="minor"/>
    </font>
    <font>
      <sz val="16"/>
      <name val="Arial"/>
    </font>
    <font>
      <sz val="12"/>
      <name val="Arial"/>
    </font>
    <font>
      <u/>
      <sz val="12"/>
      <color theme="10"/>
      <name val="Calibri"/>
      <family val="2"/>
      <scheme val="minor"/>
    </font>
    <font>
      <u/>
      <sz val="12"/>
      <color theme="11"/>
      <name val="Calibri"/>
      <family val="2"/>
      <scheme val="minor"/>
    </font>
    <font>
      <b/>
      <sz val="16"/>
      <color rgb="FF000000"/>
      <name val="Calibri"/>
      <scheme val="minor"/>
    </font>
    <font>
      <b/>
      <sz val="14"/>
      <name val="Calibri"/>
      <family val="2"/>
      <scheme val="minor"/>
    </font>
    <font>
      <b/>
      <sz val="14"/>
      <color theme="1"/>
      <name val="Arial"/>
    </font>
    <font>
      <sz val="10"/>
      <color indexed="81"/>
      <name val="Calibri"/>
    </font>
    <font>
      <b/>
      <sz val="10"/>
      <color indexed="81"/>
      <name val="Calibri"/>
    </font>
    <font>
      <sz val="12"/>
      <color indexed="55"/>
      <name val="Arial"/>
      <family val="2"/>
    </font>
  </fonts>
  <fills count="14">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0"/>
        <bgColor indexed="64"/>
      </patternFill>
    </fill>
    <fill>
      <patternFill patternType="solid">
        <fgColor indexed="1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0" tint="-0.14999847407452621"/>
        <bgColor indexed="64"/>
      </patternFill>
    </fill>
  </fills>
  <borders count="5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diagonal/>
    </border>
    <border>
      <left/>
      <right/>
      <top/>
      <bottom style="thin">
        <color auto="1"/>
      </bottom>
      <diagonal/>
    </border>
  </borders>
  <cellStyleXfs count="1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7" fillId="0" borderId="0"/>
    <xf numFmtId="164" fontId="7" fillId="0" borderId="0" applyFon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cellStyleXfs>
  <cellXfs count="467">
    <xf numFmtId="0" fontId="0" fillId="0" borderId="0" xfId="0"/>
    <xf numFmtId="0" fontId="0" fillId="2" borderId="0" xfId="0" applyFill="1"/>
    <xf numFmtId="0" fontId="0" fillId="2" borderId="0" xfId="0" applyFill="1" applyBorder="1"/>
    <xf numFmtId="0" fontId="0" fillId="0" borderId="0" xfId="0" applyBorder="1"/>
    <xf numFmtId="0" fontId="0" fillId="2" borderId="4" xfId="0" applyFill="1" applyBorder="1"/>
    <xf numFmtId="0" fontId="0" fillId="2" borderId="5" xfId="0" applyFill="1" applyBorder="1"/>
    <xf numFmtId="0" fontId="8" fillId="2" borderId="0" xfId="0" applyFont="1" applyFill="1" applyBorder="1" applyAlignment="1">
      <alignment horizontal="center"/>
    </xf>
    <xf numFmtId="0" fontId="0" fillId="0" borderId="8" xfId="0" applyBorder="1"/>
    <xf numFmtId="0" fontId="0" fillId="0" borderId="4" xfId="0" applyBorder="1"/>
    <xf numFmtId="0" fontId="0" fillId="2" borderId="1" xfId="0" applyFill="1" applyBorder="1"/>
    <xf numFmtId="0" fontId="0" fillId="2" borderId="2" xfId="0" applyFill="1" applyBorder="1"/>
    <xf numFmtId="0" fontId="0" fillId="2" borderId="3" xfId="0" applyFill="1" applyBorder="1"/>
    <xf numFmtId="0" fontId="6" fillId="5" borderId="11" xfId="0" applyFont="1" applyFill="1" applyBorder="1"/>
    <xf numFmtId="0" fontId="0" fillId="6" borderId="9" xfId="0" applyFill="1" applyBorder="1" applyAlignment="1">
      <alignment horizontal="right"/>
    </xf>
    <xf numFmtId="0" fontId="0" fillId="6" borderId="3" xfId="0" applyFill="1" applyBorder="1"/>
    <xf numFmtId="0" fontId="6" fillId="5" borderId="14" xfId="0" applyFont="1" applyFill="1" applyBorder="1"/>
    <xf numFmtId="0" fontId="0" fillId="6" borderId="12" xfId="0" applyFill="1" applyBorder="1" applyAlignment="1">
      <alignment horizontal="right"/>
    </xf>
    <xf numFmtId="0" fontId="0" fillId="6" borderId="16" xfId="0" applyFill="1" applyBorder="1"/>
    <xf numFmtId="0" fontId="6" fillId="7" borderId="19" xfId="0" applyFont="1" applyFill="1" applyBorder="1"/>
    <xf numFmtId="164" fontId="0" fillId="2" borderId="0" xfId="0" applyNumberFormat="1" applyFill="1" applyBorder="1"/>
    <xf numFmtId="0" fontId="0" fillId="2" borderId="8" xfId="0" applyFill="1" applyBorder="1"/>
    <xf numFmtId="0" fontId="7" fillId="2" borderId="0" xfId="0" applyFont="1" applyFill="1" applyBorder="1"/>
    <xf numFmtId="0" fontId="0" fillId="2" borderId="11" xfId="0" applyFill="1" applyBorder="1"/>
    <xf numFmtId="0" fontId="0" fillId="2" borderId="12" xfId="0" applyFill="1" applyBorder="1" applyAlignment="1">
      <alignment horizontal="center"/>
    </xf>
    <xf numFmtId="0" fontId="0" fillId="2" borderId="17" xfId="0" applyFill="1" applyBorder="1" applyAlignment="1">
      <alignment horizontal="center"/>
    </xf>
    <xf numFmtId="0" fontId="0" fillId="2" borderId="21" xfId="0" applyFill="1" applyBorder="1"/>
    <xf numFmtId="0" fontId="0" fillId="2" borderId="22" xfId="0" applyFill="1" applyBorder="1"/>
    <xf numFmtId="0" fontId="0" fillId="2" borderId="20" xfId="0" applyFill="1" applyBorder="1"/>
    <xf numFmtId="0" fontId="0" fillId="0" borderId="3" xfId="0" applyBorder="1"/>
    <xf numFmtId="0" fontId="0" fillId="6" borderId="23" xfId="0" applyFill="1" applyBorder="1" applyAlignment="1">
      <alignment horizontal="right"/>
    </xf>
    <xf numFmtId="43" fontId="0" fillId="5" borderId="24" xfId="1" applyFont="1" applyFill="1" applyBorder="1"/>
    <xf numFmtId="0" fontId="0" fillId="0" borderId="21" xfId="0" applyBorder="1"/>
    <xf numFmtId="0" fontId="10" fillId="2" borderId="0" xfId="0" applyFont="1" applyFill="1"/>
    <xf numFmtId="0" fontId="10" fillId="2" borderId="4" xfId="0" applyFont="1" applyFill="1" applyBorder="1"/>
    <xf numFmtId="0" fontId="10" fillId="2" borderId="5" xfId="0" applyFont="1" applyFill="1" applyBorder="1"/>
    <xf numFmtId="0" fontId="10" fillId="2" borderId="0" xfId="0" applyFont="1" applyFill="1" applyBorder="1"/>
    <xf numFmtId="0" fontId="10" fillId="2" borderId="8" xfId="0" applyFont="1" applyFill="1" applyBorder="1"/>
    <xf numFmtId="0" fontId="10" fillId="0" borderId="0" xfId="0" applyFont="1"/>
    <xf numFmtId="0" fontId="0" fillId="0" borderId="22" xfId="0" applyBorder="1"/>
    <xf numFmtId="0" fontId="8" fillId="2" borderId="0" xfId="0" applyFont="1" applyFill="1" applyBorder="1"/>
    <xf numFmtId="0" fontId="0" fillId="0" borderId="26" xfId="0" applyBorder="1"/>
    <xf numFmtId="2" fontId="6" fillId="6" borderId="27" xfId="1" applyNumberFormat="1" applyFont="1" applyFill="1" applyBorder="1"/>
    <xf numFmtId="0" fontId="0" fillId="6" borderId="28" xfId="0" applyFill="1" applyBorder="1" applyAlignment="1">
      <alignment horizontal="right"/>
    </xf>
    <xf numFmtId="165" fontId="6" fillId="6" borderId="29" xfId="1" applyNumberFormat="1" applyFont="1" applyFill="1" applyBorder="1"/>
    <xf numFmtId="0" fontId="0" fillId="6" borderId="30" xfId="0" applyFill="1" applyBorder="1"/>
    <xf numFmtId="2" fontId="6" fillId="2" borderId="0" xfId="1" applyNumberFormat="1" applyFont="1" applyFill="1" applyBorder="1"/>
    <xf numFmtId="0" fontId="0" fillId="2" borderId="0" xfId="0" applyFill="1" applyBorder="1" applyAlignment="1">
      <alignment horizontal="right"/>
    </xf>
    <xf numFmtId="165" fontId="6" fillId="2" borderId="0" xfId="1" applyNumberFormat="1" applyFont="1" applyFill="1" applyBorder="1"/>
    <xf numFmtId="43" fontId="0" fillId="2" borderId="8" xfId="1" applyFont="1" applyFill="1" applyBorder="1"/>
    <xf numFmtId="2" fontId="6" fillId="2" borderId="0" xfId="1" applyNumberFormat="1" applyFont="1" applyFill="1" applyBorder="1" applyAlignment="1">
      <alignment horizontal="center"/>
    </xf>
    <xf numFmtId="0" fontId="7" fillId="2" borderId="13" xfId="0" applyFont="1" applyFill="1" applyBorder="1"/>
    <xf numFmtId="0" fontId="7" fillId="2" borderId="13" xfId="0" applyFont="1" applyFill="1" applyBorder="1" applyAlignment="1">
      <alignment horizontal="center"/>
    </xf>
    <xf numFmtId="0" fontId="0" fillId="2" borderId="7" xfId="0" applyFill="1" applyBorder="1"/>
    <xf numFmtId="0" fontId="11" fillId="2" borderId="4" xfId="0" applyFont="1" applyFill="1" applyBorder="1"/>
    <xf numFmtId="43" fontId="13" fillId="2" borderId="0" xfId="1" applyFont="1" applyFill="1" applyBorder="1" applyAlignment="1">
      <alignment vertical="center"/>
    </xf>
    <xf numFmtId="0" fontId="6" fillId="6" borderId="28" xfId="0" applyFont="1" applyFill="1" applyBorder="1" applyAlignment="1">
      <alignment horizontal="right" vertical="center"/>
    </xf>
    <xf numFmtId="168" fontId="6" fillId="6" borderId="29" xfId="1" applyNumberFormat="1" applyFont="1" applyFill="1" applyBorder="1" applyAlignment="1">
      <alignment vertical="center"/>
    </xf>
    <xf numFmtId="0" fontId="6" fillId="6" borderId="30" xfId="0" applyFont="1" applyFill="1" applyBorder="1" applyAlignment="1">
      <alignment horizontal="center" vertical="center"/>
    </xf>
    <xf numFmtId="43" fontId="0" fillId="7" borderId="24" xfId="1" applyFont="1" applyFill="1" applyBorder="1" applyAlignment="1">
      <alignment vertical="center"/>
    </xf>
    <xf numFmtId="0" fontId="6" fillId="2" borderId="11" xfId="0" applyFont="1" applyFill="1" applyBorder="1" applyAlignment="1">
      <alignment horizontal="center" vertical="center"/>
    </xf>
    <xf numFmtId="43" fontId="6" fillId="3" borderId="14" xfId="1" applyFont="1" applyFill="1" applyBorder="1" applyAlignment="1" applyProtection="1">
      <alignment vertical="center"/>
      <protection locked="0"/>
    </xf>
    <xf numFmtId="43" fontId="7" fillId="2" borderId="19" xfId="1" applyFont="1" applyFill="1" applyBorder="1" applyAlignment="1">
      <alignment vertical="center"/>
    </xf>
    <xf numFmtId="0" fontId="0" fillId="2" borderId="13" xfId="0" applyFill="1" applyBorder="1" applyAlignment="1">
      <alignment horizontal="center"/>
    </xf>
    <xf numFmtId="0" fontId="0" fillId="6" borderId="28" xfId="0" applyFill="1" applyBorder="1" applyAlignment="1">
      <alignment vertical="center"/>
    </xf>
    <xf numFmtId="169" fontId="6" fillId="6" borderId="29" xfId="0" applyNumberFormat="1" applyFont="1" applyFill="1" applyBorder="1" applyAlignment="1">
      <alignment vertical="center"/>
    </xf>
    <xf numFmtId="0" fontId="0" fillId="6" borderId="30" xfId="0" applyFill="1" applyBorder="1" applyAlignment="1">
      <alignment vertical="center"/>
    </xf>
    <xf numFmtId="43" fontId="0" fillId="7" borderId="24" xfId="1" applyFont="1" applyFill="1" applyBorder="1"/>
    <xf numFmtId="164" fontId="0" fillId="2" borderId="20" xfId="5" applyNumberFormat="1" applyFont="1" applyFill="1" applyBorder="1"/>
    <xf numFmtId="168" fontId="6" fillId="0" borderId="22" xfId="5" applyNumberFormat="1" applyFont="1" applyBorder="1"/>
    <xf numFmtId="165" fontId="13" fillId="2" borderId="0" xfId="5" applyNumberFormat="1" applyFont="1" applyFill="1" applyBorder="1"/>
    <xf numFmtId="164" fontId="10" fillId="0" borderId="13" xfId="5" applyNumberFormat="1" applyFont="1" applyBorder="1"/>
    <xf numFmtId="164" fontId="10" fillId="2" borderId="13" xfId="5" applyNumberFormat="1" applyFont="1" applyFill="1" applyBorder="1"/>
    <xf numFmtId="0" fontId="7" fillId="2" borderId="13" xfId="0" applyFont="1" applyFill="1" applyBorder="1" applyAlignment="1">
      <alignment horizontal="left"/>
    </xf>
    <xf numFmtId="0" fontId="0" fillId="2" borderId="37" xfId="0" applyFill="1" applyBorder="1" applyAlignment="1">
      <alignment horizontal="right"/>
    </xf>
    <xf numFmtId="164" fontId="0" fillId="2" borderId="16" xfId="0" applyNumberFormat="1" applyFill="1" applyBorder="1"/>
    <xf numFmtId="0" fontId="21" fillId="2" borderId="0" xfId="0" applyFont="1" applyFill="1" applyBorder="1"/>
    <xf numFmtId="0" fontId="0" fillId="2" borderId="21" xfId="0" applyFill="1" applyBorder="1" applyAlignment="1">
      <alignment horizontal="right"/>
    </xf>
    <xf numFmtId="0" fontId="22" fillId="2" borderId="21" xfId="0" applyFont="1" applyFill="1" applyBorder="1" applyAlignment="1">
      <alignment horizontal="right"/>
    </xf>
    <xf numFmtId="0" fontId="6" fillId="2" borderId="20" xfId="0" applyFont="1" applyFill="1" applyBorder="1"/>
    <xf numFmtId="0" fontId="0" fillId="2" borderId="39" xfId="0" applyFill="1" applyBorder="1"/>
    <xf numFmtId="0" fontId="0" fillId="2" borderId="40" xfId="0" applyFill="1" applyBorder="1"/>
    <xf numFmtId="0" fontId="0" fillId="2" borderId="34" xfId="0" applyFill="1" applyBorder="1"/>
    <xf numFmtId="0" fontId="0" fillId="2" borderId="41" xfId="0" applyFill="1" applyBorder="1"/>
    <xf numFmtId="0" fontId="0" fillId="2" borderId="31" xfId="0" applyFill="1" applyBorder="1"/>
    <xf numFmtId="0" fontId="0" fillId="2" borderId="32" xfId="0" applyFill="1" applyBorder="1"/>
    <xf numFmtId="170" fontId="0" fillId="0" borderId="0" xfId="0" applyNumberFormat="1"/>
    <xf numFmtId="0" fontId="10" fillId="0" borderId="13" xfId="0" applyFont="1" applyBorder="1"/>
    <xf numFmtId="44" fontId="7" fillId="2" borderId="22" xfId="2" applyFont="1" applyFill="1" applyBorder="1" applyAlignment="1">
      <alignment horizontal="left" vertical="center"/>
    </xf>
    <xf numFmtId="44" fontId="7" fillId="2" borderId="22" xfId="2" applyFont="1" applyFill="1" applyBorder="1"/>
    <xf numFmtId="0" fontId="6" fillId="6" borderId="28" xfId="0" applyFont="1" applyFill="1" applyBorder="1" applyAlignment="1">
      <alignment horizontal="right"/>
    </xf>
    <xf numFmtId="0" fontId="6" fillId="2" borderId="0" xfId="0" applyFont="1" applyFill="1" applyBorder="1" applyAlignment="1">
      <alignment horizontal="right"/>
    </xf>
    <xf numFmtId="171" fontId="6" fillId="2" borderId="0" xfId="3" applyNumberFormat="1" applyFont="1" applyFill="1" applyBorder="1"/>
    <xf numFmtId="171" fontId="7" fillId="2" borderId="13" xfId="3" applyNumberFormat="1" applyFont="1" applyFill="1" applyBorder="1" applyAlignment="1">
      <alignment horizontal="center"/>
    </xf>
    <xf numFmtId="167" fontId="0" fillId="2" borderId="13" xfId="5" applyNumberFormat="1" applyFont="1" applyFill="1" applyBorder="1"/>
    <xf numFmtId="0" fontId="24" fillId="2" borderId="0" xfId="0" applyFont="1" applyFill="1" applyBorder="1" applyAlignment="1">
      <alignment horizontal="left"/>
    </xf>
    <xf numFmtId="0" fontId="0" fillId="2" borderId="13" xfId="0" applyFill="1" applyBorder="1"/>
    <xf numFmtId="164" fontId="0" fillId="2" borderId="22" xfId="0" applyNumberFormat="1" applyFill="1" applyBorder="1"/>
    <xf numFmtId="0" fontId="0" fillId="2" borderId="22" xfId="0" applyFill="1" applyBorder="1" applyAlignment="1">
      <alignment horizontal="right"/>
    </xf>
    <xf numFmtId="0" fontId="25" fillId="2" borderId="0" xfId="0" applyFont="1" applyFill="1" applyBorder="1" applyAlignment="1">
      <alignment horizontal="center"/>
    </xf>
    <xf numFmtId="49" fontId="0" fillId="2" borderId="0" xfId="5" applyNumberFormat="1" applyFont="1" applyFill="1" applyBorder="1" applyAlignment="1"/>
    <xf numFmtId="0" fontId="0" fillId="2" borderId="0" xfId="0" applyFill="1" applyBorder="1" applyAlignment="1">
      <alignment horizontal="left"/>
    </xf>
    <xf numFmtId="0" fontId="26" fillId="2" borderId="0" xfId="0" applyFont="1" applyFill="1" applyBorder="1" applyAlignment="1">
      <alignment horizontal="right"/>
    </xf>
    <xf numFmtId="0" fontId="12" fillId="2" borderId="0" xfId="0" applyFont="1" applyFill="1" applyBorder="1"/>
    <xf numFmtId="0" fontId="27" fillId="2" borderId="0" xfId="0" applyFont="1" applyFill="1" applyBorder="1"/>
    <xf numFmtId="0" fontId="28" fillId="2" borderId="0" xfId="0" applyFont="1" applyFill="1" applyBorder="1" applyAlignment="1">
      <alignment horizontal="center"/>
    </xf>
    <xf numFmtId="164" fontId="7" fillId="0" borderId="13" xfId="5" applyNumberFormat="1" applyFont="1" applyBorder="1"/>
    <xf numFmtId="0" fontId="7" fillId="0" borderId="13" xfId="0" applyFont="1" applyBorder="1"/>
    <xf numFmtId="168" fontId="7" fillId="2" borderId="13" xfId="5" applyNumberFormat="1" applyFont="1" applyFill="1" applyBorder="1"/>
    <xf numFmtId="0" fontId="28" fillId="2" borderId="13" xfId="0" applyFont="1" applyFill="1" applyBorder="1" applyAlignment="1">
      <alignment horizontal="center"/>
    </xf>
    <xf numFmtId="0" fontId="28" fillId="2" borderId="14" xfId="0" applyFont="1" applyFill="1" applyBorder="1" applyAlignment="1">
      <alignment horizontal="center"/>
    </xf>
    <xf numFmtId="0" fontId="29" fillId="2" borderId="13" xfId="0" applyFont="1" applyFill="1" applyBorder="1" applyAlignment="1">
      <alignment horizontal="center"/>
    </xf>
    <xf numFmtId="164" fontId="12" fillId="2" borderId="13" xfId="5" applyFont="1" applyFill="1" applyBorder="1" applyAlignment="1">
      <alignment horizontal="center"/>
    </xf>
    <xf numFmtId="164" fontId="12" fillId="2" borderId="14" xfId="5" applyFont="1" applyFill="1" applyBorder="1" applyAlignment="1">
      <alignment horizontal="center"/>
    </xf>
    <xf numFmtId="164" fontId="12" fillId="2" borderId="0" xfId="5" applyFont="1" applyFill="1" applyBorder="1" applyAlignment="1">
      <alignment horizontal="center"/>
    </xf>
    <xf numFmtId="0" fontId="29" fillId="2" borderId="18" xfId="0" applyFont="1" applyFill="1" applyBorder="1" applyAlignment="1">
      <alignment horizontal="center"/>
    </xf>
    <xf numFmtId="164" fontId="12" fillId="2" borderId="18" xfId="5" applyFont="1" applyFill="1" applyBorder="1" applyAlignment="1">
      <alignment horizontal="center"/>
    </xf>
    <xf numFmtId="164" fontId="12" fillId="2" borderId="19" xfId="5" applyFont="1" applyFill="1" applyBorder="1" applyAlignment="1">
      <alignment horizontal="center"/>
    </xf>
    <xf numFmtId="0" fontId="0" fillId="6" borderId="0" xfId="0" applyFill="1" applyAlignment="1">
      <alignment horizontal="right"/>
    </xf>
    <xf numFmtId="0" fontId="30" fillId="6" borderId="0" xfId="0" applyFont="1" applyFill="1" applyAlignment="1">
      <alignment horizontal="right"/>
    </xf>
    <xf numFmtId="0" fontId="0" fillId="6" borderId="37" xfId="0" applyFill="1" applyBorder="1" applyAlignment="1">
      <alignment horizontal="right"/>
    </xf>
    <xf numFmtId="164" fontId="0" fillId="6" borderId="16" xfId="5" applyFont="1" applyFill="1" applyBorder="1"/>
    <xf numFmtId="0" fontId="0" fillId="6" borderId="21" xfId="0" applyFill="1" applyBorder="1" applyAlignment="1">
      <alignment horizontal="right"/>
    </xf>
    <xf numFmtId="173" fontId="0" fillId="6" borderId="20" xfId="5" applyNumberFormat="1" applyFont="1" applyFill="1" applyBorder="1"/>
    <xf numFmtId="0" fontId="22" fillId="6" borderId="44" xfId="0" applyFont="1" applyFill="1" applyBorder="1" applyAlignment="1">
      <alignment horizontal="right"/>
    </xf>
    <xf numFmtId="168" fontId="6" fillId="6" borderId="20" xfId="5" applyNumberFormat="1" applyFont="1" applyFill="1" applyBorder="1"/>
    <xf numFmtId="164" fontId="0" fillId="2" borderId="22" xfId="5" applyFont="1" applyFill="1" applyBorder="1"/>
    <xf numFmtId="165" fontId="32" fillId="2" borderId="0" xfId="5" applyNumberFormat="1" applyFont="1" applyFill="1" applyBorder="1"/>
    <xf numFmtId="164" fontId="0" fillId="6" borderId="16" xfId="0" applyNumberFormat="1" applyFill="1" applyBorder="1"/>
    <xf numFmtId="164" fontId="0" fillId="6" borderId="20" xfId="5" applyFont="1" applyFill="1" applyBorder="1"/>
    <xf numFmtId="174" fontId="32" fillId="2" borderId="0" xfId="0" applyNumberFormat="1" applyFont="1" applyFill="1" applyBorder="1"/>
    <xf numFmtId="2" fontId="21" fillId="2" borderId="13" xfId="0" applyNumberFormat="1" applyFont="1" applyFill="1" applyBorder="1"/>
    <xf numFmtId="0" fontId="22" fillId="2" borderId="4" xfId="0" applyFont="1" applyFill="1" applyBorder="1" applyAlignment="1">
      <alignment horizontal="center"/>
    </xf>
    <xf numFmtId="0" fontId="22" fillId="2" borderId="0" xfId="0" applyFont="1" applyFill="1" applyBorder="1" applyAlignment="1">
      <alignment horizontal="center"/>
    </xf>
    <xf numFmtId="0" fontId="7" fillId="6" borderId="12" xfId="0" applyFont="1" applyFill="1" applyBorder="1" applyAlignment="1">
      <alignment horizontal="center"/>
    </xf>
    <xf numFmtId="164" fontId="7" fillId="6" borderId="14" xfId="5" applyFont="1" applyFill="1" applyBorder="1"/>
    <xf numFmtId="166" fontId="6" fillId="6" borderId="36" xfId="5" applyNumberFormat="1" applyFont="1" applyFill="1" applyBorder="1" applyAlignment="1">
      <alignment horizontal="center"/>
    </xf>
    <xf numFmtId="169" fontId="7" fillId="6" borderId="14" xfId="5" applyNumberFormat="1" applyFont="1" applyFill="1" applyBorder="1"/>
    <xf numFmtId="0" fontId="0" fillId="6" borderId="21" xfId="0" applyFill="1" applyBorder="1"/>
    <xf numFmtId="0" fontId="0" fillId="6" borderId="20" xfId="0" applyFill="1" applyBorder="1" applyAlignment="1">
      <alignment horizontal="center"/>
    </xf>
    <xf numFmtId="0" fontId="7" fillId="6" borderId="17" xfId="0" applyFont="1" applyFill="1" applyBorder="1" applyAlignment="1">
      <alignment horizontal="center"/>
    </xf>
    <xf numFmtId="169" fontId="7" fillId="6" borderId="19" xfId="5" applyNumberFormat="1" applyFont="1" applyFill="1" applyBorder="1"/>
    <xf numFmtId="0" fontId="7" fillId="0" borderId="12" xfId="0" applyFont="1" applyBorder="1" applyAlignment="1">
      <alignment horizontal="center"/>
    </xf>
    <xf numFmtId="164" fontId="0" fillId="0" borderId="0" xfId="0" applyNumberFormat="1"/>
    <xf numFmtId="0" fontId="7" fillId="0" borderId="17" xfId="0" applyFont="1" applyBorder="1" applyAlignment="1">
      <alignment horizontal="center"/>
    </xf>
    <xf numFmtId="0" fontId="8" fillId="2" borderId="4" xfId="0" applyFont="1" applyFill="1" applyBorder="1"/>
    <xf numFmtId="164" fontId="0" fillId="6" borderId="30" xfId="5" applyFont="1" applyFill="1" applyBorder="1"/>
    <xf numFmtId="0" fontId="8" fillId="6" borderId="28" xfId="0" applyFont="1" applyFill="1" applyBorder="1" applyAlignment="1">
      <alignment horizontal="right"/>
    </xf>
    <xf numFmtId="0" fontId="22" fillId="2" borderId="0" xfId="0" applyFont="1" applyFill="1" applyBorder="1"/>
    <xf numFmtId="164" fontId="7" fillId="6" borderId="30" xfId="5" applyFont="1" applyFill="1" applyBorder="1"/>
    <xf numFmtId="0" fontId="0" fillId="6" borderId="55" xfId="0" applyFill="1" applyBorder="1"/>
    <xf numFmtId="164" fontId="0" fillId="6" borderId="33" xfId="5" applyFont="1" applyFill="1" applyBorder="1"/>
    <xf numFmtId="0" fontId="0" fillId="6" borderId="56" xfId="0" applyFill="1" applyBorder="1"/>
    <xf numFmtId="0" fontId="0" fillId="6" borderId="12" xfId="0" applyFill="1" applyBorder="1"/>
    <xf numFmtId="164" fontId="0" fillId="6" borderId="13" xfId="5" applyFont="1" applyFill="1" applyBorder="1"/>
    <xf numFmtId="0" fontId="0" fillId="6" borderId="14" xfId="0" applyFill="1" applyBorder="1"/>
    <xf numFmtId="0" fontId="0" fillId="6" borderId="17" xfId="0" applyFill="1" applyBorder="1"/>
    <xf numFmtId="173" fontId="0" fillId="6" borderId="18" xfId="5" applyNumberFormat="1" applyFont="1" applyFill="1" applyBorder="1"/>
    <xf numFmtId="0" fontId="0" fillId="6" borderId="19" xfId="0" applyFill="1" applyBorder="1"/>
    <xf numFmtId="0" fontId="0" fillId="2" borderId="11" xfId="0" applyFill="1" applyBorder="1" applyAlignment="1">
      <alignment horizontal="center"/>
    </xf>
    <xf numFmtId="0" fontId="0" fillId="6" borderId="23" xfId="0" applyFill="1" applyBorder="1"/>
    <xf numFmtId="0" fontId="0" fillId="6" borderId="36" xfId="0" applyFill="1" applyBorder="1"/>
    <xf numFmtId="164" fontId="0" fillId="2" borderId="14" xfId="5" applyFont="1" applyFill="1" applyBorder="1"/>
    <xf numFmtId="0" fontId="6" fillId="6" borderId="21" xfId="0" applyFont="1" applyFill="1" applyBorder="1" applyAlignment="1">
      <alignment horizontal="center"/>
    </xf>
    <xf numFmtId="4" fontId="6" fillId="6" borderId="20" xfId="0" applyNumberFormat="1" applyFont="1" applyFill="1" applyBorder="1" applyAlignment="1">
      <alignment horizontal="center"/>
    </xf>
    <xf numFmtId="0" fontId="6" fillId="2" borderId="39" xfId="0" applyFont="1" applyFill="1" applyBorder="1" applyAlignment="1">
      <alignment horizontal="right"/>
    </xf>
    <xf numFmtId="164" fontId="6" fillId="2" borderId="40" xfId="5" applyFont="1" applyFill="1" applyBorder="1" applyAlignment="1">
      <alignment horizontal="left"/>
    </xf>
    <xf numFmtId="0" fontId="6" fillId="2" borderId="31" xfId="0" applyFont="1" applyFill="1" applyBorder="1" applyAlignment="1">
      <alignment horizontal="right"/>
    </xf>
    <xf numFmtId="164" fontId="6" fillId="2" borderId="32" xfId="5" applyFont="1" applyFill="1" applyBorder="1" applyAlignment="1">
      <alignment horizontal="left"/>
    </xf>
    <xf numFmtId="0" fontId="0" fillId="2" borderId="18" xfId="0" applyFill="1" applyBorder="1"/>
    <xf numFmtId="164" fontId="0" fillId="2" borderId="19" xfId="5" applyFont="1" applyFill="1" applyBorder="1"/>
    <xf numFmtId="168" fontId="32" fillId="2" borderId="0" xfId="5" applyNumberFormat="1" applyFont="1" applyFill="1" applyBorder="1"/>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0" borderId="0" xfId="0"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0" fillId="2" borderId="39" xfId="0" applyFill="1" applyBorder="1" applyAlignment="1">
      <alignment vertical="center"/>
    </xf>
    <xf numFmtId="0" fontId="0" fillId="2" borderId="57" xfId="0" applyFill="1" applyBorder="1" applyAlignment="1">
      <alignment vertical="center"/>
    </xf>
    <xf numFmtId="0" fontId="0" fillId="2" borderId="40" xfId="0" applyFill="1" applyBorder="1" applyAlignment="1">
      <alignment vertical="center"/>
    </xf>
    <xf numFmtId="0" fontId="0" fillId="2" borderId="34" xfId="0" applyFill="1" applyBorder="1" applyAlignment="1">
      <alignment vertical="center"/>
    </xf>
    <xf numFmtId="0" fontId="6" fillId="2" borderId="0" xfId="0" applyFont="1" applyFill="1" applyBorder="1" applyAlignment="1">
      <alignment horizontal="right" vertical="center"/>
    </xf>
    <xf numFmtId="0" fontId="0" fillId="2" borderId="41" xfId="0" applyFill="1" applyBorder="1" applyAlignment="1">
      <alignment vertical="center"/>
    </xf>
    <xf numFmtId="0" fontId="6" fillId="2" borderId="0" xfId="0" applyFont="1" applyFill="1" applyBorder="1" applyAlignment="1">
      <alignment vertical="center"/>
    </xf>
    <xf numFmtId="0" fontId="0" fillId="2" borderId="31" xfId="0" applyFill="1" applyBorder="1" applyAlignment="1">
      <alignment vertical="center"/>
    </xf>
    <xf numFmtId="0" fontId="0" fillId="2" borderId="58" xfId="0" applyFill="1" applyBorder="1" applyAlignment="1">
      <alignment vertical="center"/>
    </xf>
    <xf numFmtId="0" fontId="0" fillId="2" borderId="32" xfId="0" applyFill="1" applyBorder="1" applyAlignment="1">
      <alignment vertical="center"/>
    </xf>
    <xf numFmtId="173" fontId="0" fillId="2" borderId="13" xfId="0" applyNumberFormat="1" applyFill="1" applyBorder="1" applyAlignment="1">
      <alignment vertical="center"/>
    </xf>
    <xf numFmtId="173" fontId="0" fillId="2" borderId="13" xfId="5" applyNumberFormat="1" applyFont="1" applyFill="1" applyBorder="1" applyAlignment="1">
      <alignment vertical="center"/>
    </xf>
    <xf numFmtId="170" fontId="0" fillId="2" borderId="0" xfId="0" applyNumberFormat="1" applyFill="1" applyBorder="1" applyAlignment="1">
      <alignment vertical="center"/>
    </xf>
    <xf numFmtId="0" fontId="6" fillId="2" borderId="13" xfId="0" applyFont="1" applyFill="1" applyBorder="1" applyAlignment="1">
      <alignment horizontal="center" vertical="center"/>
    </xf>
    <xf numFmtId="0" fontId="24" fillId="2" borderId="0" xfId="0" applyFont="1" applyFill="1" applyBorder="1" applyAlignment="1">
      <alignment vertical="center"/>
    </xf>
    <xf numFmtId="0" fontId="34" fillId="2" borderId="0" xfId="0" applyFont="1" applyFill="1" applyBorder="1" applyAlignment="1">
      <alignment horizontal="center" vertical="center"/>
    </xf>
    <xf numFmtId="164" fontId="24" fillId="2" borderId="0" xfId="5" applyFont="1" applyFill="1" applyBorder="1" applyAlignment="1">
      <alignment vertical="center"/>
    </xf>
    <xf numFmtId="164" fontId="34" fillId="2" borderId="0" xfId="5"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0" xfId="0" applyFill="1" applyBorder="1" applyAlignment="1">
      <alignment vertical="center"/>
    </xf>
    <xf numFmtId="0" fontId="0" fillId="2" borderId="28" xfId="0" applyFill="1" applyBorder="1" applyAlignment="1">
      <alignment horizontal="right"/>
    </xf>
    <xf numFmtId="0" fontId="0" fillId="2" borderId="29" xfId="0" applyFill="1" applyBorder="1" applyAlignment="1">
      <alignment horizontal="right"/>
    </xf>
    <xf numFmtId="164" fontId="0" fillId="2" borderId="30" xfId="0" applyNumberFormat="1" applyFill="1" applyBorder="1"/>
    <xf numFmtId="173" fontId="0" fillId="2" borderId="0" xfId="5" applyNumberFormat="1" applyFont="1" applyFill="1" applyBorder="1"/>
    <xf numFmtId="164" fontId="0" fillId="2" borderId="0" xfId="5" applyFont="1" applyFill="1" applyBorder="1"/>
    <xf numFmtId="0" fontId="22" fillId="2" borderId="0" xfId="0" applyFont="1" applyFill="1" applyBorder="1" applyAlignment="1">
      <alignment horizontal="left"/>
    </xf>
    <xf numFmtId="0" fontId="0" fillId="6" borderId="9" xfId="0" applyFill="1" applyBorder="1" applyAlignment="1">
      <alignment horizontal="center"/>
    </xf>
    <xf numFmtId="0" fontId="6" fillId="5" borderId="10" xfId="0" applyFont="1" applyFill="1" applyBorder="1" applyAlignment="1">
      <alignment horizontal="center"/>
    </xf>
    <xf numFmtId="0" fontId="0" fillId="6" borderId="12" xfId="0" applyFill="1" applyBorder="1" applyAlignment="1">
      <alignment horizontal="center"/>
    </xf>
    <xf numFmtId="0" fontId="6" fillId="6" borderId="13" xfId="0" applyFont="1" applyFill="1" applyBorder="1" applyAlignment="1">
      <alignment horizontal="center"/>
    </xf>
    <xf numFmtId="0" fontId="0" fillId="2" borderId="0" xfId="0" applyFill="1" applyAlignment="1">
      <alignment horizontal="center"/>
    </xf>
    <xf numFmtId="0" fontId="0" fillId="0" borderId="0" xfId="0" applyAlignment="1">
      <alignment horizontal="center"/>
    </xf>
    <xf numFmtId="0" fontId="6" fillId="6" borderId="12" xfId="0" applyFont="1" applyFill="1" applyBorder="1" applyAlignment="1">
      <alignment horizontal="center"/>
    </xf>
    <xf numFmtId="164" fontId="7" fillId="2" borderId="13" xfId="5" applyFont="1" applyFill="1" applyBorder="1"/>
    <xf numFmtId="164" fontId="0" fillId="2" borderId="13" xfId="5" applyFont="1" applyFill="1" applyBorder="1" applyAlignment="1">
      <alignment horizontal="center"/>
    </xf>
    <xf numFmtId="164" fontId="0" fillId="2" borderId="14" xfId="5" applyFont="1" applyFill="1" applyBorder="1" applyAlignment="1">
      <alignment horizontal="center"/>
    </xf>
    <xf numFmtId="165" fontId="0" fillId="2" borderId="0" xfId="0" applyNumberFormat="1" applyFill="1"/>
    <xf numFmtId="0" fontId="6" fillId="6" borderId="17" xfId="0" applyFont="1" applyFill="1" applyBorder="1" applyAlignment="1">
      <alignment horizontal="center"/>
    </xf>
    <xf numFmtId="164" fontId="7" fillId="2" borderId="18" xfId="5" applyFont="1" applyFill="1" applyBorder="1"/>
    <xf numFmtId="164" fontId="0" fillId="2" borderId="18" xfId="5" applyFont="1" applyFill="1" applyBorder="1" applyAlignment="1">
      <alignment horizontal="center"/>
    </xf>
    <xf numFmtId="164" fontId="0" fillId="2" borderId="19" xfId="5" applyFont="1" applyFill="1" applyBorder="1" applyAlignment="1">
      <alignment horizontal="center"/>
    </xf>
    <xf numFmtId="0" fontId="6" fillId="2" borderId="0" xfId="0" applyFont="1" applyFill="1" applyBorder="1" applyAlignment="1">
      <alignment horizontal="center"/>
    </xf>
    <xf numFmtId="164" fontId="7" fillId="2" borderId="0" xfId="5" applyFont="1" applyFill="1" applyBorder="1"/>
    <xf numFmtId="0" fontId="0" fillId="2" borderId="0" xfId="0" applyFill="1" applyBorder="1" applyAlignment="1">
      <alignment horizontal="center"/>
    </xf>
    <xf numFmtId="168" fontId="22" fillId="6" borderId="0" xfId="5" applyNumberFormat="1" applyFont="1" applyFill="1" applyBorder="1"/>
    <xf numFmtId="43" fontId="0" fillId="2" borderId="0" xfId="0" applyNumberFormat="1" applyFill="1" applyBorder="1"/>
    <xf numFmtId="44" fontId="35" fillId="0" borderId="0" xfId="2" applyFont="1"/>
    <xf numFmtId="0" fontId="0" fillId="0" borderId="0" xfId="0" applyAlignment="1">
      <alignment horizontal="left"/>
    </xf>
    <xf numFmtId="2" fontId="0" fillId="0" borderId="0" xfId="0" applyNumberFormat="1" applyAlignment="1">
      <alignment horizontal="center"/>
    </xf>
    <xf numFmtId="0" fontId="37" fillId="0" borderId="0" xfId="0" applyFont="1"/>
    <xf numFmtId="0" fontId="38" fillId="0" borderId="39" xfId="0" applyFont="1" applyBorder="1"/>
    <xf numFmtId="0" fontId="0" fillId="0" borderId="57" xfId="0" applyBorder="1" applyAlignment="1">
      <alignment horizontal="center"/>
    </xf>
    <xf numFmtId="0" fontId="0" fillId="0" borderId="57" xfId="0" applyBorder="1" applyAlignment="1">
      <alignment horizontal="left"/>
    </xf>
    <xf numFmtId="44" fontId="35" fillId="0" borderId="40" xfId="2" applyFont="1" applyBorder="1"/>
    <xf numFmtId="0" fontId="0" fillId="0" borderId="31" xfId="0" applyBorder="1"/>
    <xf numFmtId="0" fontId="0" fillId="0" borderId="58" xfId="0" applyBorder="1" applyAlignment="1">
      <alignment horizontal="center"/>
    </xf>
    <xf numFmtId="0" fontId="0" fillId="0" borderId="58" xfId="0" applyBorder="1" applyAlignment="1">
      <alignment horizontal="left"/>
    </xf>
    <xf numFmtId="44" fontId="35" fillId="0" borderId="32" xfId="2" applyFont="1" applyBorder="1"/>
    <xf numFmtId="44" fontId="35" fillId="0" borderId="58" xfId="2" applyFont="1" applyBorder="1"/>
    <xf numFmtId="2" fontId="0" fillId="0" borderId="58" xfId="0" applyNumberFormat="1" applyBorder="1" applyAlignment="1">
      <alignment horizontal="center"/>
    </xf>
    <xf numFmtId="44" fontId="35" fillId="0" borderId="0" xfId="2" applyFont="1" applyAlignment="1">
      <alignment horizontal="center"/>
    </xf>
    <xf numFmtId="0" fontId="35" fillId="0" borderId="0" xfId="0" applyFont="1"/>
    <xf numFmtId="0" fontId="0" fillId="9" borderId="15" xfId="0" applyFill="1" applyBorder="1"/>
    <xf numFmtId="0" fontId="0" fillId="9" borderId="45" xfId="0" applyFill="1" applyBorder="1" applyAlignment="1">
      <alignment horizontal="center"/>
    </xf>
    <xf numFmtId="0" fontId="0" fillId="9" borderId="45" xfId="0" applyFill="1" applyBorder="1" applyAlignment="1">
      <alignment horizontal="left"/>
    </xf>
    <xf numFmtId="44" fontId="35" fillId="9" borderId="35" xfId="2" applyFont="1" applyFill="1" applyBorder="1"/>
    <xf numFmtId="0" fontId="35" fillId="0" borderId="0" xfId="0" applyFont="1" applyAlignment="1">
      <alignment horizontal="center"/>
    </xf>
    <xf numFmtId="0" fontId="35" fillId="0" borderId="58" xfId="0" applyFont="1" applyBorder="1"/>
    <xf numFmtId="0" fontId="36" fillId="2" borderId="0" xfId="0" applyFont="1" applyFill="1" applyBorder="1"/>
    <xf numFmtId="44" fontId="36" fillId="2" borderId="0" xfId="2" applyFont="1" applyFill="1" applyBorder="1"/>
    <xf numFmtId="0" fontId="36" fillId="2" borderId="0" xfId="0" applyFont="1" applyFill="1" applyBorder="1" applyAlignment="1">
      <alignment horizontal="right"/>
    </xf>
    <xf numFmtId="44" fontId="36" fillId="2" borderId="0" xfId="2" applyFont="1" applyFill="1" applyBorder="1" applyAlignment="1"/>
    <xf numFmtId="0" fontId="0" fillId="2" borderId="0" xfId="0" applyFill="1" applyBorder="1" applyAlignment="1"/>
    <xf numFmtId="165" fontId="9" fillId="2" borderId="4" xfId="0" applyNumberFormat="1" applyFont="1" applyFill="1" applyBorder="1" applyAlignment="1">
      <alignment horizontal="center"/>
    </xf>
    <xf numFmtId="165" fontId="9" fillId="2" borderId="0" xfId="0" applyNumberFormat="1" applyFont="1" applyFill="1" applyBorder="1" applyAlignment="1">
      <alignment horizontal="center"/>
    </xf>
    <xf numFmtId="165" fontId="9" fillId="2" borderId="5" xfId="0" applyNumberFormat="1" applyFont="1" applyFill="1" applyBorder="1" applyAlignment="1">
      <alignment horizontal="center"/>
    </xf>
    <xf numFmtId="0" fontId="3" fillId="2" borderId="22" xfId="0" applyFont="1" applyFill="1" applyBorder="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2" borderId="0" xfId="0" applyFont="1" applyFill="1" applyBorder="1" applyAlignment="1">
      <alignment horizontal="center" vertical="center"/>
    </xf>
    <xf numFmtId="0" fontId="6" fillId="4" borderId="6" xfId="0" applyFont="1" applyFill="1" applyBorder="1" applyAlignment="1">
      <alignment horizontal="center"/>
    </xf>
    <xf numFmtId="0" fontId="6" fillId="4" borderId="50" xfId="0" applyFont="1" applyFill="1" applyBorder="1" applyAlignment="1">
      <alignment horizontal="center"/>
    </xf>
    <xf numFmtId="0" fontId="7" fillId="2" borderId="1"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49" xfId="0" applyFont="1" applyFill="1" applyBorder="1" applyAlignment="1">
      <alignment horizontal="center" vertical="center"/>
    </xf>
    <xf numFmtId="0" fontId="9" fillId="2" borderId="4" xfId="0" applyFont="1" applyFill="1" applyBorder="1" applyAlignment="1">
      <alignment horizontal="center"/>
    </xf>
    <xf numFmtId="0" fontId="9" fillId="2" borderId="0" xfId="0" applyFont="1" applyFill="1" applyBorder="1" applyAlignment="1">
      <alignment horizontal="center"/>
    </xf>
    <xf numFmtId="0" fontId="9" fillId="2" borderId="5" xfId="0" applyFont="1" applyFill="1" applyBorder="1" applyAlignment="1">
      <alignment horizontal="center"/>
    </xf>
    <xf numFmtId="0" fontId="6" fillId="2" borderId="29" xfId="0" applyFont="1" applyFill="1" applyBorder="1" applyAlignment="1">
      <alignment horizontal="center"/>
    </xf>
    <xf numFmtId="0" fontId="8" fillId="2" borderId="0" xfId="0" applyFont="1" applyFill="1" applyBorder="1" applyAlignment="1">
      <alignment horizontal="left"/>
    </xf>
    <xf numFmtId="0" fontId="6" fillId="2" borderId="46" xfId="0" applyFont="1" applyFill="1" applyBorder="1" applyAlignment="1">
      <alignment horizontal="center"/>
    </xf>
    <xf numFmtId="0" fontId="6" fillId="2" borderId="47" xfId="0" applyFont="1" applyFill="1" applyBorder="1" applyAlignment="1">
      <alignment horizontal="center"/>
    </xf>
    <xf numFmtId="0" fontId="12" fillId="2" borderId="34"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6" fillId="0" borderId="23" xfId="0" applyFont="1" applyBorder="1" applyAlignment="1">
      <alignment horizontal="center" vertical="center"/>
    </xf>
    <xf numFmtId="0" fontId="6" fillId="0" borderId="38"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Border="1" applyAlignment="1">
      <alignment horizontal="center" vertical="justify"/>
    </xf>
    <xf numFmtId="0" fontId="6" fillId="0" borderId="38" xfId="0" applyFont="1" applyBorder="1" applyAlignment="1">
      <alignment horizontal="center" vertical="justify"/>
    </xf>
    <xf numFmtId="0" fontId="6" fillId="0" borderId="47" xfId="0" applyFont="1" applyBorder="1" applyAlignment="1">
      <alignment horizontal="center" vertical="justify"/>
    </xf>
    <xf numFmtId="0" fontId="0" fillId="0" borderId="37" xfId="0" applyBorder="1" applyAlignment="1">
      <alignment horizontal="left" vertical="center"/>
    </xf>
    <xf numFmtId="0" fontId="0" fillId="0" borderId="45" xfId="0" applyBorder="1" applyAlignment="1">
      <alignment horizontal="left" vertical="center"/>
    </xf>
    <xf numFmtId="0" fontId="0" fillId="0" borderId="35" xfId="0" applyBorder="1" applyAlignment="1">
      <alignment horizontal="left" vertical="center"/>
    </xf>
    <xf numFmtId="43" fontId="0" fillId="0" borderId="15" xfId="1" applyFont="1" applyBorder="1" applyAlignment="1">
      <alignment horizontal="center" vertical="center"/>
    </xf>
    <xf numFmtId="43" fontId="0" fillId="0" borderId="45" xfId="1" applyFont="1" applyBorder="1" applyAlignment="1">
      <alignment horizontal="center" vertical="center"/>
    </xf>
    <xf numFmtId="43" fontId="0" fillId="0" borderId="35" xfId="1" applyFont="1" applyBorder="1" applyAlignment="1">
      <alignment horizontal="center" vertical="center"/>
    </xf>
    <xf numFmtId="0" fontId="0" fillId="0" borderId="15" xfId="0" applyBorder="1" applyAlignment="1">
      <alignment horizontal="center" vertical="center"/>
    </xf>
    <xf numFmtId="0" fontId="0" fillId="0" borderId="45" xfId="0" applyBorder="1" applyAlignment="1">
      <alignment horizontal="center" vertical="center"/>
    </xf>
    <xf numFmtId="0" fontId="0" fillId="0" borderId="35" xfId="0" applyBorder="1" applyAlignment="1">
      <alignment horizontal="center" vertical="center"/>
    </xf>
    <xf numFmtId="0" fontId="6" fillId="0" borderId="44" xfId="0" applyFont="1" applyBorder="1" applyAlignment="1">
      <alignment horizontal="center" vertical="center"/>
    </xf>
    <xf numFmtId="0" fontId="6" fillId="0" borderId="25" xfId="0" applyFont="1" applyBorder="1" applyAlignment="1">
      <alignment horizontal="center" vertical="center"/>
    </xf>
    <xf numFmtId="0" fontId="6" fillId="0" borderId="43" xfId="0" applyFont="1" applyBorder="1" applyAlignment="1">
      <alignment horizontal="center" vertical="center"/>
    </xf>
    <xf numFmtId="0" fontId="14" fillId="0" borderId="42" xfId="0" applyFont="1" applyBorder="1" applyAlignment="1">
      <alignment horizontal="center" vertical="center"/>
    </xf>
    <xf numFmtId="0" fontId="14" fillId="0" borderId="25" xfId="0" applyFont="1" applyBorder="1" applyAlignment="1">
      <alignment horizontal="center" vertical="center"/>
    </xf>
    <xf numFmtId="0" fontId="14" fillId="0" borderId="43" xfId="0" applyFont="1" applyBorder="1" applyAlignment="1">
      <alignment horizontal="center" vertical="center"/>
    </xf>
    <xf numFmtId="164" fontId="0" fillId="2" borderId="15" xfId="0" applyNumberFormat="1" applyFill="1" applyBorder="1" applyAlignment="1">
      <alignment horizontal="center"/>
    </xf>
    <xf numFmtId="164" fontId="0" fillId="2" borderId="35" xfId="0" applyNumberFormat="1" applyFill="1" applyBorder="1" applyAlignment="1">
      <alignment horizontal="center"/>
    </xf>
    <xf numFmtId="0" fontId="35" fillId="0" borderId="0" xfId="0" applyFont="1" applyAlignment="1">
      <alignment horizontal="center"/>
    </xf>
    <xf numFmtId="0" fontId="0" fillId="2" borderId="4" xfId="0" applyFill="1" applyBorder="1" applyAlignment="1">
      <alignment horizontal="left"/>
    </xf>
    <xf numFmtId="0" fontId="0" fillId="2" borderId="0" xfId="0" applyFill="1" applyBorder="1" applyAlignment="1">
      <alignment horizontal="left"/>
    </xf>
    <xf numFmtId="0" fontId="0" fillId="2" borderId="5" xfId="0" applyFill="1" applyBorder="1" applyAlignment="1">
      <alignment horizontal="left"/>
    </xf>
    <xf numFmtId="0" fontId="8" fillId="2" borderId="1" xfId="0" applyFont="1" applyFill="1" applyBorder="1" applyAlignment="1">
      <alignment horizontal="center"/>
    </xf>
    <xf numFmtId="0" fontId="8" fillId="2" borderId="2" xfId="0" applyFont="1" applyFill="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0" fontId="0" fillId="2" borderId="21" xfId="0" applyFill="1" applyBorder="1" applyAlignment="1">
      <alignment horizontal="left"/>
    </xf>
    <xf numFmtId="0" fontId="0" fillId="2" borderId="22" xfId="0" applyFill="1" applyBorder="1" applyAlignment="1">
      <alignment horizontal="left"/>
    </xf>
    <xf numFmtId="0" fontId="0" fillId="2" borderId="20" xfId="0" applyFill="1" applyBorder="1" applyAlignment="1">
      <alignment horizontal="left"/>
    </xf>
    <xf numFmtId="0" fontId="0" fillId="2" borderId="23" xfId="0" applyFill="1" applyBorder="1" applyAlignment="1">
      <alignment horizontal="center"/>
    </xf>
    <xf numFmtId="0" fontId="0" fillId="2" borderId="36" xfId="0" applyFill="1" applyBorder="1" applyAlignment="1">
      <alignment horizontal="center"/>
    </xf>
    <xf numFmtId="0" fontId="0" fillId="2" borderId="38" xfId="0" applyFill="1" applyBorder="1" applyAlignment="1">
      <alignment horizontal="center"/>
    </xf>
    <xf numFmtId="0" fontId="7" fillId="2" borderId="22" xfId="0" applyFont="1" applyFill="1" applyBorder="1" applyAlignment="1">
      <alignment horizontal="right"/>
    </xf>
    <xf numFmtId="0" fontId="31" fillId="10" borderId="39" xfId="0" applyFont="1" applyFill="1" applyBorder="1" applyAlignment="1">
      <alignment horizontal="center" vertical="center"/>
    </xf>
    <xf numFmtId="0" fontId="31" fillId="10" borderId="34" xfId="0" applyFont="1" applyFill="1" applyBorder="1" applyAlignment="1">
      <alignment horizontal="center" vertical="center"/>
    </xf>
    <xf numFmtId="0" fontId="31" fillId="10" borderId="31" xfId="0" applyFont="1" applyFill="1" applyBorder="1" applyAlignment="1">
      <alignment horizontal="center" vertical="center"/>
    </xf>
    <xf numFmtId="0" fontId="0" fillId="10" borderId="40" xfId="0" applyFill="1" applyBorder="1" applyAlignment="1">
      <alignment horizontal="left" vertical="center"/>
    </xf>
    <xf numFmtId="0" fontId="0" fillId="10" borderId="41" xfId="0" applyFill="1" applyBorder="1" applyAlignment="1">
      <alignment horizontal="left" vertical="center"/>
    </xf>
    <xf numFmtId="0" fontId="0" fillId="10" borderId="32" xfId="0" applyFill="1" applyBorder="1" applyAlignment="1">
      <alignment horizontal="left" vertical="center"/>
    </xf>
    <xf numFmtId="0" fontId="4" fillId="2" borderId="0" xfId="0" applyFont="1" applyFill="1" applyBorder="1" applyAlignment="1">
      <alignment horizontal="center"/>
    </xf>
    <xf numFmtId="0" fontId="23" fillId="2" borderId="0" xfId="0" applyFont="1" applyFill="1" applyBorder="1" applyAlignment="1">
      <alignment horizontal="center"/>
    </xf>
    <xf numFmtId="10" fontId="6" fillId="6" borderId="29" xfId="3" applyNumberFormat="1" applyFont="1" applyFill="1" applyBorder="1" applyAlignment="1">
      <alignment horizontal="center"/>
    </xf>
    <xf numFmtId="10" fontId="6" fillId="6" borderId="30" xfId="3" applyNumberFormat="1" applyFont="1" applyFill="1" applyBorder="1" applyAlignment="1">
      <alignment horizontal="center"/>
    </xf>
    <xf numFmtId="0" fontId="7" fillId="2" borderId="0" xfId="0" applyFont="1" applyFill="1" applyBorder="1" applyAlignment="1">
      <alignment horizontal="center"/>
    </xf>
    <xf numFmtId="49" fontId="0" fillId="2" borderId="13" xfId="0" applyNumberFormat="1" applyFill="1" applyBorder="1" applyAlignment="1">
      <alignment horizontal="right"/>
    </xf>
    <xf numFmtId="0" fontId="0" fillId="2" borderId="35" xfId="0" applyFill="1" applyBorder="1" applyAlignment="1">
      <alignment horizontal="center"/>
    </xf>
    <xf numFmtId="0" fontId="39" fillId="2" borderId="0" xfId="0" applyFont="1" applyFill="1" applyBorder="1" applyAlignment="1">
      <alignment horizontal="right"/>
    </xf>
    <xf numFmtId="0" fontId="6" fillId="2" borderId="15" xfId="0" applyFont="1" applyFill="1" applyBorder="1" applyAlignment="1">
      <alignment horizontal="center"/>
    </xf>
    <xf numFmtId="0" fontId="6" fillId="2" borderId="35" xfId="0" applyFont="1" applyFill="1" applyBorder="1" applyAlignment="1">
      <alignment horizontal="center"/>
    </xf>
    <xf numFmtId="172" fontId="0" fillId="6" borderId="0" xfId="5" applyNumberFormat="1" applyFont="1" applyFill="1" applyAlignment="1">
      <alignment horizontal="center"/>
    </xf>
    <xf numFmtId="168" fontId="0" fillId="6" borderId="0" xfId="5" applyNumberFormat="1" applyFont="1" applyFill="1" applyAlignment="1">
      <alignment horizontal="center"/>
    </xf>
    <xf numFmtId="164" fontId="30" fillId="6" borderId="0" xfId="5" applyNumberFormat="1" applyFont="1" applyFill="1" applyAlignment="1">
      <alignment horizontal="center"/>
    </xf>
    <xf numFmtId="0" fontId="6" fillId="2" borderId="1"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32" xfId="0" applyFont="1" applyFill="1" applyBorder="1" applyAlignment="1">
      <alignment horizontal="center" vertical="center"/>
    </xf>
    <xf numFmtId="0" fontId="28" fillId="2" borderId="46" xfId="0" applyFont="1" applyFill="1" applyBorder="1" applyAlignment="1">
      <alignment horizontal="center"/>
    </xf>
    <xf numFmtId="0" fontId="28" fillId="2" borderId="38" xfId="0" applyFont="1" applyFill="1" applyBorder="1" applyAlignment="1">
      <alignment horizontal="center"/>
    </xf>
    <xf numFmtId="0" fontId="28" fillId="2" borderId="36" xfId="0" applyFont="1" applyFill="1" applyBorder="1" applyAlignment="1">
      <alignment horizontal="center"/>
    </xf>
    <xf numFmtId="0" fontId="29" fillId="2" borderId="52"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54" xfId="0" applyFont="1" applyFill="1" applyBorder="1" applyAlignment="1">
      <alignment horizontal="center" vertical="center" wrapText="1"/>
    </xf>
    <xf numFmtId="0" fontId="0" fillId="6" borderId="23" xfId="0" applyFill="1" applyBorder="1" applyAlignment="1">
      <alignment horizontal="center"/>
    </xf>
    <xf numFmtId="0" fontId="0" fillId="6" borderId="36" xfId="0"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22" fillId="2" borderId="1" xfId="0" applyFont="1" applyFill="1" applyBorder="1" applyAlignment="1">
      <alignment horizontal="center"/>
    </xf>
    <xf numFmtId="0" fontId="22" fillId="2" borderId="2" xfId="0" applyFont="1" applyFill="1" applyBorder="1" applyAlignment="1">
      <alignment horizontal="center"/>
    </xf>
    <xf numFmtId="0" fontId="26" fillId="2" borderId="37" xfId="0" applyFont="1" applyFill="1" applyBorder="1" applyAlignment="1">
      <alignment horizontal="center" vertical="center"/>
    </xf>
    <xf numFmtId="0" fontId="26" fillId="2" borderId="45"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12" xfId="0" applyFont="1" applyFill="1" applyBorder="1" applyAlignment="1">
      <alignment horizontal="left" vertical="justify"/>
    </xf>
    <xf numFmtId="0" fontId="26" fillId="2" borderId="13" xfId="0" applyFont="1" applyFill="1" applyBorder="1" applyAlignment="1">
      <alignment horizontal="left" vertical="justify"/>
    </xf>
    <xf numFmtId="0" fontId="0" fillId="2" borderId="13" xfId="0" applyFill="1" applyBorder="1" applyAlignment="1">
      <alignment horizontal="left"/>
    </xf>
    <xf numFmtId="0" fontId="0" fillId="2" borderId="18" xfId="0" applyFill="1" applyBorder="1" applyAlignment="1">
      <alignment horizontal="left"/>
    </xf>
    <xf numFmtId="0" fontId="0" fillId="2" borderId="0" xfId="0" applyFill="1" applyBorder="1" applyAlignment="1">
      <alignment horizontal="left" vertical="justify"/>
    </xf>
    <xf numFmtId="0" fontId="0" fillId="6" borderId="28" xfId="0" applyFill="1" applyBorder="1" applyAlignment="1">
      <alignment horizontal="right"/>
    </xf>
    <xf numFmtId="0" fontId="0" fillId="6" borderId="29" xfId="0" applyFill="1" applyBorder="1" applyAlignment="1">
      <alignment horizontal="right"/>
    </xf>
    <xf numFmtId="0" fontId="22" fillId="2" borderId="0" xfId="0" applyFont="1" applyFill="1" applyBorder="1" applyAlignment="1">
      <alignment horizontal="center"/>
    </xf>
    <xf numFmtId="0" fontId="0" fillId="6" borderId="28" xfId="0" applyFill="1" applyBorder="1" applyAlignment="1">
      <alignment horizontal="center"/>
    </xf>
    <xf numFmtId="0" fontId="0" fillId="6" borderId="29" xfId="0" applyFill="1" applyBorder="1" applyAlignment="1">
      <alignment horizontal="center"/>
    </xf>
    <xf numFmtId="0" fontId="0" fillId="2" borderId="47" xfId="0" applyFill="1" applyBorder="1" applyAlignment="1">
      <alignment horizontal="center"/>
    </xf>
    <xf numFmtId="175" fontId="6" fillId="6" borderId="29" xfId="0" applyNumberFormat="1" applyFont="1" applyFill="1" applyBorder="1" applyAlignment="1">
      <alignment horizontal="center"/>
    </xf>
    <xf numFmtId="175" fontId="6" fillId="6" borderId="30" xfId="0" applyNumberFormat="1" applyFont="1" applyFill="1" applyBorder="1" applyAlignment="1">
      <alignment horizontal="center"/>
    </xf>
    <xf numFmtId="0" fontId="22" fillId="2" borderId="0" xfId="0" applyFont="1" applyFill="1" applyBorder="1" applyAlignment="1">
      <alignment horizontal="justify" vertical="justify"/>
    </xf>
    <xf numFmtId="0" fontId="0" fillId="2" borderId="0" xfId="0" applyFill="1" applyBorder="1" applyAlignment="1">
      <alignment horizontal="left" vertical="center"/>
    </xf>
    <xf numFmtId="0" fontId="6" fillId="2" borderId="34" xfId="0" applyFont="1" applyFill="1" applyBorder="1" applyAlignment="1">
      <alignment horizontal="right" vertical="center"/>
    </xf>
    <xf numFmtId="164" fontId="6" fillId="2" borderId="0" xfId="5" applyFont="1" applyFill="1" applyBorder="1" applyAlignment="1">
      <alignment horizontal="center" vertical="center"/>
    </xf>
    <xf numFmtId="0" fontId="6" fillId="2" borderId="22" xfId="0" applyFont="1" applyFill="1" applyBorder="1" applyAlignment="1">
      <alignment horizontal="center" vertical="center"/>
    </xf>
    <xf numFmtId="0" fontId="6" fillId="2" borderId="2" xfId="0" applyFont="1" applyFill="1" applyBorder="1" applyAlignment="1">
      <alignment horizontal="center" vertical="center"/>
    </xf>
    <xf numFmtId="0" fontId="0" fillId="2" borderId="13" xfId="0" applyFill="1" applyBorder="1" applyAlignment="1">
      <alignment horizontal="left" vertical="center"/>
    </xf>
    <xf numFmtId="0" fontId="6" fillId="2" borderId="13" xfId="0" applyFont="1" applyFill="1" applyBorder="1" applyAlignment="1">
      <alignment horizontal="center" vertical="center"/>
    </xf>
    <xf numFmtId="0" fontId="0" fillId="2" borderId="13" xfId="0" applyFill="1" applyBorder="1" applyAlignment="1">
      <alignment horizontal="center" vertical="center"/>
    </xf>
    <xf numFmtId="0" fontId="0" fillId="2" borderId="57" xfId="0" applyFill="1" applyBorder="1" applyAlignment="1">
      <alignment horizontal="justify" vertical="justify"/>
    </xf>
    <xf numFmtId="0" fontId="14" fillId="2" borderId="13" xfId="0" applyFont="1" applyFill="1" applyBorder="1" applyAlignment="1">
      <alignment horizontal="center" vertical="center"/>
    </xf>
    <xf numFmtId="0" fontId="6" fillId="5" borderId="10" xfId="0" applyFont="1" applyFill="1" applyBorder="1" applyAlignment="1">
      <alignment horizontal="center"/>
    </xf>
    <xf numFmtId="0" fontId="6" fillId="5" borderId="11" xfId="0" applyFont="1" applyFill="1" applyBorder="1" applyAlignment="1">
      <alignment horizontal="center"/>
    </xf>
    <xf numFmtId="0" fontId="6" fillId="6" borderId="13" xfId="0" applyFont="1" applyFill="1" applyBorder="1" applyAlignment="1">
      <alignment horizontal="center"/>
    </xf>
    <xf numFmtId="0" fontId="6" fillId="6" borderId="14" xfId="0" applyFont="1" applyFill="1" applyBorder="1" applyAlignment="1">
      <alignment horizontal="center"/>
    </xf>
    <xf numFmtId="0" fontId="0" fillId="0" borderId="2" xfId="0" applyBorder="1"/>
    <xf numFmtId="0" fontId="0" fillId="0" borderId="20" xfId="0" applyBorder="1"/>
    <xf numFmtId="0" fontId="38" fillId="0" borderId="0" xfId="0" applyFont="1"/>
    <xf numFmtId="0" fontId="36" fillId="0" borderId="1" xfId="0" applyFont="1" applyBorder="1"/>
    <xf numFmtId="0" fontId="0" fillId="0" borderId="2" xfId="0" applyBorder="1" applyAlignment="1">
      <alignment horizontal="center"/>
    </xf>
    <xf numFmtId="0" fontId="0" fillId="0" borderId="22" xfId="0" applyBorder="1" applyAlignment="1">
      <alignment horizontal="center"/>
    </xf>
    <xf numFmtId="0" fontId="10" fillId="0" borderId="0" xfId="0" applyFont="1" applyAlignment="1">
      <alignment horizontal="center"/>
    </xf>
    <xf numFmtId="1" fontId="22" fillId="3" borderId="9" xfId="1" applyNumberFormat="1" applyFont="1" applyFill="1" applyBorder="1" applyAlignment="1" applyProtection="1">
      <alignment horizontal="center" vertical="center"/>
      <protection locked="0"/>
    </xf>
    <xf numFmtId="0" fontId="1" fillId="2" borderId="9" xfId="0" applyFont="1" applyFill="1" applyBorder="1" applyAlignment="1">
      <alignment horizontal="center"/>
    </xf>
    <xf numFmtId="1" fontId="22" fillId="3" borderId="12" xfId="1" applyNumberFormat="1" applyFont="1" applyFill="1" applyBorder="1" applyAlignment="1" applyProtection="1">
      <alignment horizontal="center" vertical="center"/>
      <protection locked="0"/>
    </xf>
    <xf numFmtId="0" fontId="1" fillId="2" borderId="12" xfId="0" applyFont="1" applyFill="1" applyBorder="1" applyAlignment="1">
      <alignment horizontal="center"/>
    </xf>
    <xf numFmtId="1" fontId="22" fillId="8" borderId="17" xfId="1" applyNumberFormat="1" applyFont="1" applyFill="1" applyBorder="1" applyAlignment="1" applyProtection="1">
      <alignment horizontal="center" vertical="center"/>
      <protection locked="0"/>
    </xf>
    <xf numFmtId="0" fontId="1" fillId="2" borderId="17" xfId="0" applyFont="1" applyFill="1" applyBorder="1" applyAlignment="1">
      <alignment horizontal="center"/>
    </xf>
    <xf numFmtId="43" fontId="8" fillId="3" borderId="24" xfId="1" applyFont="1" applyFill="1" applyBorder="1" applyProtection="1">
      <protection locked="0"/>
    </xf>
    <xf numFmtId="0" fontId="8" fillId="0" borderId="28" xfId="0" applyFont="1" applyBorder="1" applyAlignment="1">
      <alignment horizontal="left" vertical="center"/>
    </xf>
    <xf numFmtId="0" fontId="8" fillId="0" borderId="30" xfId="0" applyFont="1" applyBorder="1" applyAlignment="1">
      <alignment horizontal="left" vertical="center"/>
    </xf>
    <xf numFmtId="0" fontId="1" fillId="2" borderId="23" xfId="0" applyFont="1" applyFill="1" applyBorder="1" applyAlignment="1">
      <alignment horizontal="left"/>
    </xf>
    <xf numFmtId="0" fontId="1" fillId="2" borderId="47" xfId="0" applyFont="1" applyFill="1" applyBorder="1" applyAlignment="1">
      <alignment horizontal="left"/>
    </xf>
    <xf numFmtId="0" fontId="1" fillId="2" borderId="37" xfId="0" applyFont="1" applyFill="1" applyBorder="1" applyAlignment="1">
      <alignment horizontal="left"/>
    </xf>
    <xf numFmtId="0" fontId="1" fillId="2" borderId="35" xfId="0" applyFont="1" applyFill="1" applyBorder="1" applyAlignment="1">
      <alignment horizontal="left"/>
    </xf>
    <xf numFmtId="0" fontId="1" fillId="2" borderId="44" xfId="0" applyFont="1" applyFill="1" applyBorder="1" applyAlignment="1">
      <alignment horizontal="left"/>
    </xf>
    <xf numFmtId="0" fontId="1" fillId="2" borderId="43" xfId="0" applyFont="1" applyFill="1" applyBorder="1" applyAlignment="1">
      <alignment horizontal="left"/>
    </xf>
    <xf numFmtId="167" fontId="6" fillId="3" borderId="28" xfId="1" applyNumberFormat="1" applyFont="1" applyFill="1" applyBorder="1" applyAlignment="1" applyProtection="1">
      <protection locked="0"/>
    </xf>
    <xf numFmtId="167" fontId="22" fillId="3" borderId="28" xfId="1" applyNumberFormat="1" applyFont="1" applyFill="1" applyBorder="1" applyAlignment="1" applyProtection="1">
      <protection locked="0"/>
    </xf>
    <xf numFmtId="0" fontId="7" fillId="2" borderId="12" xfId="0" applyFont="1" applyFill="1" applyBorder="1" applyAlignment="1">
      <alignment horizontal="center" vertical="center"/>
    </xf>
    <xf numFmtId="0" fontId="7" fillId="2" borderId="14" xfId="0" applyFont="1" applyFill="1" applyBorder="1" applyAlignment="1">
      <alignment horizontal="center"/>
    </xf>
    <xf numFmtId="0" fontId="7" fillId="2" borderId="17" xfId="0" applyFont="1" applyFill="1" applyBorder="1" applyAlignment="1">
      <alignment horizontal="center" vertical="center"/>
    </xf>
    <xf numFmtId="0" fontId="7" fillId="2" borderId="19" xfId="0" applyFont="1" applyFill="1" applyBorder="1" applyAlignment="1">
      <alignment horizontal="center"/>
    </xf>
    <xf numFmtId="0" fontId="22" fillId="2" borderId="23" xfId="0" applyFont="1" applyFill="1" applyBorder="1" applyAlignment="1"/>
    <xf numFmtId="0" fontId="22" fillId="2" borderId="36" xfId="0" applyFont="1" applyFill="1" applyBorder="1" applyAlignment="1"/>
    <xf numFmtId="0" fontId="40" fillId="2" borderId="12" xfId="0" applyFont="1" applyFill="1" applyBorder="1" applyAlignment="1">
      <alignment horizontal="center" vertical="center"/>
    </xf>
    <xf numFmtId="0" fontId="40" fillId="2" borderId="14" xfId="0" applyFont="1" applyFill="1" applyBorder="1" applyAlignment="1">
      <alignment horizontal="center"/>
    </xf>
    <xf numFmtId="0" fontId="40" fillId="2" borderId="17" xfId="0" applyFont="1" applyFill="1" applyBorder="1" applyAlignment="1">
      <alignment horizontal="center" vertical="center"/>
    </xf>
    <xf numFmtId="0" fontId="40" fillId="2" borderId="19" xfId="0" applyFont="1" applyFill="1" applyBorder="1" applyAlignment="1">
      <alignment horizontal="center"/>
    </xf>
    <xf numFmtId="0" fontId="6" fillId="2" borderId="23" xfId="0" applyFont="1" applyFill="1" applyBorder="1" applyAlignment="1">
      <alignment horizontal="center" vertical="center"/>
    </xf>
    <xf numFmtId="0" fontId="6" fillId="2" borderId="36" xfId="0" applyFont="1" applyFill="1" applyBorder="1" applyAlignment="1">
      <alignment horizontal="center" vertical="center"/>
    </xf>
    <xf numFmtId="164" fontId="8" fillId="13" borderId="0" xfId="1" applyNumberFormat="1" applyFont="1" applyFill="1" applyBorder="1" applyAlignment="1">
      <alignment vertical="center"/>
    </xf>
    <xf numFmtId="44" fontId="43" fillId="11" borderId="0" xfId="2" applyFont="1" applyFill="1" applyBorder="1" applyAlignment="1">
      <alignment horizontal="left" vertical="center"/>
    </xf>
    <xf numFmtId="0" fontId="35" fillId="12" borderId="0" xfId="0" applyFont="1" applyFill="1" applyBorder="1" applyAlignment="1">
      <alignment horizontal="center" vertical="center"/>
    </xf>
    <xf numFmtId="0" fontId="44" fillId="13" borderId="0" xfId="0" applyFont="1" applyFill="1" applyBorder="1" applyAlignment="1">
      <alignment horizontal="left"/>
    </xf>
    <xf numFmtId="0" fontId="44" fillId="13" borderId="0" xfId="0" applyFont="1" applyFill="1" applyBorder="1"/>
    <xf numFmtId="0" fontId="8" fillId="2" borderId="1" xfId="0" applyFont="1" applyFill="1" applyBorder="1" applyAlignment="1">
      <alignment horizontal="left"/>
    </xf>
    <xf numFmtId="0" fontId="8" fillId="2" borderId="2" xfId="0" applyFont="1" applyFill="1" applyBorder="1" applyAlignment="1">
      <alignment horizontal="left"/>
    </xf>
    <xf numFmtId="0" fontId="10" fillId="0" borderId="2" xfId="0" applyFont="1" applyBorder="1"/>
    <xf numFmtId="0" fontId="10" fillId="0" borderId="3" xfId="0" applyFont="1" applyBorder="1"/>
    <xf numFmtId="0" fontId="10" fillId="0" borderId="4" xfId="0" applyFont="1" applyBorder="1"/>
    <xf numFmtId="0" fontId="10" fillId="0" borderId="0" xfId="0" applyFont="1" applyBorder="1" applyAlignment="1">
      <alignment horizontal="center"/>
    </xf>
    <xf numFmtId="0" fontId="10" fillId="0" borderId="0" xfId="0" applyFont="1" applyBorder="1"/>
    <xf numFmtId="0" fontId="10" fillId="0" borderId="5" xfId="0" applyFont="1" applyBorder="1"/>
    <xf numFmtId="0" fontId="40" fillId="0" borderId="0" xfId="0" applyFont="1" applyBorder="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5" xfId="0" applyBorder="1"/>
    <xf numFmtId="44" fontId="43" fillId="11" borderId="4" xfId="2" applyFont="1" applyFill="1" applyBorder="1"/>
    <xf numFmtId="0" fontId="45" fillId="0" borderId="1" xfId="0" applyFont="1" applyBorder="1"/>
    <xf numFmtId="0" fontId="0" fillId="2" borderId="2" xfId="0" applyFill="1" applyBorder="1" applyAlignment="1">
      <alignment horizontal="center"/>
    </xf>
    <xf numFmtId="0" fontId="0" fillId="2" borderId="22" xfId="0" applyFill="1" applyBorder="1" applyAlignment="1">
      <alignment horizontal="center"/>
    </xf>
    <xf numFmtId="0" fontId="6" fillId="3" borderId="28" xfId="0" applyFont="1" applyFill="1" applyBorder="1" applyAlignment="1" applyProtection="1">
      <alignment horizontal="center"/>
      <protection locked="0"/>
    </xf>
    <xf numFmtId="0" fontId="40" fillId="0" borderId="12" xfId="0" applyFont="1" applyBorder="1" applyAlignment="1">
      <alignment horizontal="center"/>
    </xf>
    <xf numFmtId="0" fontId="40" fillId="0" borderId="17" xfId="0" applyFont="1" applyBorder="1" applyAlignment="1">
      <alignment horizontal="center"/>
    </xf>
    <xf numFmtId="0" fontId="40" fillId="0" borderId="13" xfId="0" applyFont="1" applyBorder="1" applyAlignment="1">
      <alignment horizontal="left"/>
    </xf>
    <xf numFmtId="0" fontId="40" fillId="0" borderId="14" xfId="0" applyFont="1" applyBorder="1" applyAlignment="1">
      <alignment horizontal="left"/>
    </xf>
    <xf numFmtId="0" fontId="40" fillId="0" borderId="18" xfId="0" applyFont="1" applyBorder="1" applyAlignment="1">
      <alignment horizontal="left"/>
    </xf>
    <xf numFmtId="0" fontId="40" fillId="0" borderId="19" xfId="0" applyFont="1" applyBorder="1" applyAlignment="1">
      <alignment horizontal="left"/>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1" fillId="2" borderId="15" xfId="0" applyFont="1" applyFill="1" applyBorder="1" applyAlignment="1">
      <alignment horizontal="left"/>
    </xf>
    <xf numFmtId="0" fontId="1" fillId="2" borderId="45" xfId="0" applyFont="1" applyFill="1" applyBorder="1" applyAlignment="1">
      <alignment horizontal="left"/>
    </xf>
    <xf numFmtId="0" fontId="40" fillId="2" borderId="15" xfId="0" applyFont="1" applyFill="1" applyBorder="1" applyAlignment="1">
      <alignment horizontal="left"/>
    </xf>
    <xf numFmtId="0" fontId="40" fillId="2" borderId="45" xfId="0" applyFont="1" applyFill="1" applyBorder="1" applyAlignment="1">
      <alignment horizontal="left"/>
    </xf>
    <xf numFmtId="0" fontId="40" fillId="2" borderId="35" xfId="0" applyFont="1" applyFill="1" applyBorder="1" applyAlignment="1">
      <alignment horizontal="left"/>
    </xf>
    <xf numFmtId="0" fontId="1" fillId="2" borderId="15" xfId="0" applyFont="1" applyFill="1" applyBorder="1" applyAlignment="1">
      <alignment horizontal="left" vertical="justify"/>
    </xf>
    <xf numFmtId="0" fontId="1" fillId="2" borderId="45" xfId="0" applyFont="1" applyFill="1" applyBorder="1" applyAlignment="1">
      <alignment horizontal="left" vertical="justify"/>
    </xf>
    <xf numFmtId="0" fontId="1" fillId="2" borderId="35" xfId="0" applyFont="1" applyFill="1" applyBorder="1" applyAlignment="1">
      <alignment horizontal="left" vertical="justify"/>
    </xf>
    <xf numFmtId="0" fontId="1" fillId="2" borderId="13" xfId="0" applyFont="1" applyFill="1" applyBorder="1" applyAlignment="1">
      <alignment horizontal="center"/>
    </xf>
    <xf numFmtId="0" fontId="1" fillId="2" borderId="13" xfId="0" applyFont="1" applyFill="1" applyBorder="1" applyAlignment="1">
      <alignment horizontal="center" vertical="center"/>
    </xf>
    <xf numFmtId="167" fontId="22" fillId="8" borderId="13" xfId="1" applyNumberFormat="1" applyFont="1" applyFill="1" applyBorder="1" applyAlignment="1" applyProtection="1">
      <alignment horizontal="center"/>
      <protection locked="0"/>
    </xf>
    <xf numFmtId="9" fontId="1" fillId="2" borderId="13" xfId="3" applyFont="1" applyFill="1" applyBorder="1" applyAlignment="1">
      <alignment horizontal="center"/>
    </xf>
    <xf numFmtId="167" fontId="22" fillId="3" borderId="35" xfId="1" applyNumberFormat="1" applyFont="1" applyFill="1" applyBorder="1" applyAlignment="1" applyProtection="1">
      <alignment horizontal="center" vertical="center"/>
      <protection locked="0"/>
    </xf>
    <xf numFmtId="0" fontId="8" fillId="2" borderId="3" xfId="0" applyFont="1" applyFill="1" applyBorder="1" applyAlignment="1">
      <alignment horizontal="left"/>
    </xf>
  </cellXfs>
  <cellStyles count="10">
    <cellStyle name="Hiperlink" xfId="6" builtinId="8" hidden="1"/>
    <cellStyle name="Hiperlink" xfId="8" builtinId="8" hidden="1"/>
    <cellStyle name="Hiperlink Visitado" xfId="7" builtinId="9" hidden="1"/>
    <cellStyle name="Hiperlink Visitado" xfId="9" builtinId="9" hidden="1"/>
    <cellStyle name="Moeda" xfId="2" builtinId="4"/>
    <cellStyle name="Normal" xfId="0" builtinId="0"/>
    <cellStyle name="Normal 2" xfId="4"/>
    <cellStyle name="Porcentagem" xfId="3" builtinId="5"/>
    <cellStyle name="Vírgula" xfId="1" builtinId="3"/>
    <cellStyle name="Vírgula 2" xfId="5"/>
  </cellStyles>
  <dxfs count="4">
    <dxf>
      <fill>
        <patternFill>
          <bgColor indexed="50"/>
        </patternFill>
      </fill>
    </dxf>
    <dxf>
      <fill>
        <patternFill>
          <bgColor indexed="50"/>
        </patternFill>
      </fill>
    </dxf>
    <dxf>
      <fill>
        <patternFill>
          <bgColor indexed="50"/>
        </patternFill>
      </fill>
    </dxf>
    <dxf>
      <font>
        <condense val="0"/>
        <extend val="0"/>
        <color auto="1"/>
      </font>
      <fill>
        <patternFill>
          <bgColor indexed="5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0" b="1" i="0" u="none" strike="noStrike" baseline="0">
                <a:solidFill>
                  <a:srgbClr val="000000"/>
                </a:solidFill>
                <a:latin typeface="Arial"/>
                <a:ea typeface="Arial"/>
                <a:cs typeface="Arial"/>
              </a:defRPr>
            </a:pPr>
            <a:r>
              <a:rPr lang="pt-BR"/>
              <a:t>Depreciação pelo Método de 'Ross'</a:t>
            </a:r>
          </a:p>
        </c:rich>
      </c:tx>
      <c:layout>
        <c:manualLayout>
          <c:xMode val="edge"/>
          <c:yMode val="edge"/>
          <c:x val="0.140768014149419"/>
          <c:y val="0.0351905391597043"/>
        </c:manualLayout>
      </c:layout>
      <c:overlay val="0"/>
      <c:spPr>
        <a:noFill/>
        <a:ln w="25400">
          <a:noFill/>
        </a:ln>
      </c:spPr>
    </c:title>
    <c:autoTitleDeleted val="0"/>
    <c:plotArea>
      <c:layout>
        <c:manualLayout>
          <c:layoutTarget val="inner"/>
          <c:xMode val="edge"/>
          <c:yMode val="edge"/>
          <c:x val="0.180987364483979"/>
          <c:y val="0.243401759530792"/>
          <c:w val="0.793419355414615"/>
          <c:h val="0.489736070381232"/>
        </c:manualLayout>
      </c:layout>
      <c:lineChart>
        <c:grouping val="standard"/>
        <c:varyColors val="0"/>
        <c:ser>
          <c:idx val="0"/>
          <c:order val="0"/>
          <c:spPr>
            <a:ln w="12700">
              <a:solidFill>
                <a:srgbClr val="F20884"/>
              </a:solidFill>
              <a:prstDash val="solid"/>
            </a:ln>
          </c:spPr>
          <c:marker>
            <c:symbol val="none"/>
          </c:marker>
          <c:val>
            <c:numRef>
              <c:f>Ross!$C$43:$C$63</c:f>
              <c:numCache>
                <c:formatCode>_(* #,##0.00_);_(* \(#,##0.00\);_(* "-"??_);_(@_)</c:formatCode>
                <c:ptCount val="21"/>
                <c:pt idx="0">
                  <c:v>0.0</c:v>
                </c:pt>
                <c:pt idx="1">
                  <c:v>2.3625</c:v>
                </c:pt>
                <c:pt idx="2">
                  <c:v>4.950000000000001</c:v>
                </c:pt>
                <c:pt idx="3">
                  <c:v>7.762499999999999</c:v>
                </c:pt>
                <c:pt idx="4">
                  <c:v>10.8</c:v>
                </c:pt>
                <c:pt idx="5">
                  <c:v>14.0625</c:v>
                </c:pt>
                <c:pt idx="6">
                  <c:v>17.55</c:v>
                </c:pt>
                <c:pt idx="7">
                  <c:v>21.2625</c:v>
                </c:pt>
                <c:pt idx="8">
                  <c:v>25.2</c:v>
                </c:pt>
                <c:pt idx="9">
                  <c:v>29.3625</c:v>
                </c:pt>
                <c:pt idx="10">
                  <c:v>33.75</c:v>
                </c:pt>
                <c:pt idx="11">
                  <c:v>38.3625</c:v>
                </c:pt>
                <c:pt idx="12">
                  <c:v>43.2</c:v>
                </c:pt>
                <c:pt idx="13">
                  <c:v>48.2625</c:v>
                </c:pt>
                <c:pt idx="14">
                  <c:v>53.55</c:v>
                </c:pt>
                <c:pt idx="15">
                  <c:v>59.0625</c:v>
                </c:pt>
                <c:pt idx="16">
                  <c:v>64.80000000000001</c:v>
                </c:pt>
                <c:pt idx="17">
                  <c:v>70.76249999999998</c:v>
                </c:pt>
                <c:pt idx="18">
                  <c:v>76.95</c:v>
                </c:pt>
                <c:pt idx="19">
                  <c:v>83.3625</c:v>
                </c:pt>
                <c:pt idx="20">
                  <c:v>90.0</c:v>
                </c:pt>
              </c:numCache>
            </c:numRef>
          </c:val>
          <c:smooth val="0"/>
        </c:ser>
        <c:dLbls>
          <c:showLegendKey val="0"/>
          <c:showVal val="0"/>
          <c:showCatName val="0"/>
          <c:showSerName val="0"/>
          <c:showPercent val="0"/>
          <c:showBubbleSize val="0"/>
        </c:dLbls>
        <c:smooth val="0"/>
        <c:axId val="-2044429632"/>
        <c:axId val="-2044422096"/>
      </c:lineChart>
      <c:catAx>
        <c:axId val="-2044429632"/>
        <c:scaling>
          <c:orientation val="minMax"/>
        </c:scaling>
        <c:delete val="0"/>
        <c:axPos val="b"/>
        <c:title>
          <c:tx>
            <c:rich>
              <a:bodyPr/>
              <a:lstStyle/>
              <a:p>
                <a:pPr>
                  <a:defRPr sz="1450" b="1" i="0" u="none" strike="noStrike" baseline="0">
                    <a:solidFill>
                      <a:srgbClr val="000000"/>
                    </a:solidFill>
                    <a:latin typeface="Arial"/>
                    <a:ea typeface="Arial"/>
                    <a:cs typeface="Arial"/>
                  </a:defRPr>
                </a:pPr>
                <a:r>
                  <a:rPr lang="pt-BR"/>
                  <a:t>Idade Aparente - % da Vida Útil </a:t>
                </a:r>
              </a:p>
            </c:rich>
          </c:tx>
          <c:layout>
            <c:manualLayout>
              <c:xMode val="edge"/>
              <c:yMode val="edge"/>
              <c:x val="0.316270811720889"/>
              <c:y val="0.862170162889944"/>
            </c:manualLayout>
          </c:layout>
          <c:overlay val="0"/>
          <c:spPr>
            <a:noFill/>
            <a:ln w="25400">
              <a:noFill/>
            </a:ln>
          </c:spPr>
        </c:title>
        <c:numFmt formatCode="0_);\(0\)" sourceLinked="0"/>
        <c:majorTickMark val="out"/>
        <c:minorTickMark val="none"/>
        <c:tickLblPos val="nextTo"/>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pt-BR"/>
          </a:p>
        </c:txPr>
        <c:crossAx val="-2044422096"/>
        <c:crosses val="autoZero"/>
        <c:auto val="1"/>
        <c:lblAlgn val="ctr"/>
        <c:lblOffset val="100"/>
        <c:tickLblSkip val="4"/>
        <c:tickMarkSkip val="1"/>
        <c:noMultiLvlLbl val="0"/>
      </c:catAx>
      <c:valAx>
        <c:axId val="-2044422096"/>
        <c:scaling>
          <c:orientation val="minMax"/>
          <c:max val="100.0"/>
        </c:scaling>
        <c:delete val="0"/>
        <c:axPos val="l"/>
        <c:majorGridlines>
          <c:spPr>
            <a:ln w="3175">
              <a:solidFill>
                <a:srgbClr val="000000"/>
              </a:solidFill>
              <a:prstDash val="solid"/>
            </a:ln>
          </c:spPr>
        </c:majorGridlines>
        <c:title>
          <c:tx>
            <c:rich>
              <a:bodyPr/>
              <a:lstStyle/>
              <a:p>
                <a:pPr>
                  <a:defRPr sz="1450" b="1" i="0" u="none" strike="noStrike" baseline="0">
                    <a:solidFill>
                      <a:srgbClr val="000000"/>
                    </a:solidFill>
                    <a:latin typeface="Arial"/>
                    <a:ea typeface="Arial"/>
                    <a:cs typeface="Arial"/>
                  </a:defRPr>
                </a:pPr>
                <a:r>
                  <a:rPr lang="pt-BR"/>
                  <a:t>Percentual</a:t>
                </a:r>
              </a:p>
            </c:rich>
          </c:tx>
          <c:layout>
            <c:manualLayout>
              <c:xMode val="edge"/>
              <c:yMode val="edge"/>
              <c:x val="0.02925052295029"/>
              <c:y val="0.3313782532908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pt-BR"/>
          </a:p>
        </c:txPr>
        <c:crossAx val="-20444296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pt-BR"/>
    </a:p>
  </c:txPr>
  <c:printSettings>
    <c:headerFooter/>
    <c:pageMargins b="0.984251969" l="0.787401575" r="0.787401575" t="0.984251969" header="0.492125985" footer="0.49212598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pt-BR"/>
              <a:t>Depreciação pelo Método de Hélio Caires</a:t>
            </a:r>
          </a:p>
        </c:rich>
      </c:tx>
      <c:layout>
        <c:manualLayout>
          <c:xMode val="edge"/>
          <c:yMode val="edge"/>
          <c:x val="0.291101383197438"/>
          <c:y val="0.0334481627296588"/>
        </c:manualLayout>
      </c:layout>
      <c:overlay val="0"/>
      <c:spPr>
        <a:noFill/>
        <a:ln w="25400">
          <a:noFill/>
        </a:ln>
      </c:spPr>
    </c:title>
    <c:autoTitleDeleted val="0"/>
    <c:plotArea>
      <c:layout>
        <c:manualLayout>
          <c:layoutTarget val="inner"/>
          <c:xMode val="edge"/>
          <c:yMode val="edge"/>
          <c:x val="0.0922641641375645"/>
          <c:y val="0.156367745698454"/>
          <c:w val="0.875742017594159"/>
          <c:h val="0.665680227471566"/>
        </c:manualLayout>
      </c:layout>
      <c:scatterChart>
        <c:scatterStyle val="smoothMarker"/>
        <c:varyColors val="0"/>
        <c:ser>
          <c:idx val="1"/>
          <c:order val="0"/>
          <c:spPr>
            <a:ln w="12700">
              <a:solidFill>
                <a:srgbClr val="F20884"/>
              </a:solidFill>
              <a:prstDash val="solid"/>
            </a:ln>
          </c:spPr>
          <c:marker>
            <c:symbol val="none"/>
          </c:marker>
          <c:xVal>
            <c:numRef>
              <c:f>HCaires!$P$35:$P$55</c:f>
              <c:numCache>
                <c:formatCode>_(* #,##0.00_);_(* \(#,##0.00\);_(* "-"??_);_(@_)</c:formatCode>
                <c:ptCount val="21"/>
                <c:pt idx="0">
                  <c:v>0.0</c:v>
                </c:pt>
                <c:pt idx="1">
                  <c:v>0.25</c:v>
                </c:pt>
                <c:pt idx="2">
                  <c:v>0.5</c:v>
                </c:pt>
                <c:pt idx="3">
                  <c:v>0.75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numCache>
            </c:numRef>
          </c:xVal>
          <c:yVal>
            <c:numRef>
              <c:f>HCaires!$R$35:$R$55</c:f>
              <c:numCache>
                <c:formatCode>_(* #,##0.0000_);_(* \(#,##0.0000\);_(* "-"??_);_(@_)</c:formatCode>
                <c:ptCount val="21"/>
                <c:pt idx="0">
                  <c:v>0.0</c:v>
                </c:pt>
                <c:pt idx="1">
                  <c:v>4.816016251178734</c:v>
                </c:pt>
                <c:pt idx="2">
                  <c:v>10.00000399060386</c:v>
                </c:pt>
                <c:pt idx="3">
                  <c:v>15.50390076707124</c:v>
                </c:pt>
                <c:pt idx="4">
                  <c:v>21.26282235377212</c:v>
                </c:pt>
                <c:pt idx="5">
                  <c:v>27.19733821562201</c:v>
                </c:pt>
                <c:pt idx="6">
                  <c:v>33.21741726862504</c:v>
                </c:pt>
                <c:pt idx="7">
                  <c:v>39.22769041290417</c:v>
                </c:pt>
                <c:pt idx="8">
                  <c:v>45.13340604247575</c:v>
                </c:pt>
                <c:pt idx="9">
                  <c:v>50.84630439665025</c:v>
                </c:pt>
                <c:pt idx="10">
                  <c:v>56.28965449420459</c:v>
                </c:pt>
                <c:pt idx="11">
                  <c:v>61.4018776392569</c:v>
                </c:pt>
                <c:pt idx="12">
                  <c:v>66.13846676450046</c:v>
                </c:pt>
                <c:pt idx="13">
                  <c:v>70.47221725318771</c:v>
                </c:pt>
                <c:pt idx="14">
                  <c:v>74.39203507267979</c:v>
                </c:pt>
                <c:pt idx="15">
                  <c:v>77.9007362528054</c:v>
                </c:pt>
                <c:pt idx="16">
                  <c:v>81.01229080870213</c:v>
                </c:pt>
                <c:pt idx="17">
                  <c:v>83.74891687057109</c:v>
                </c:pt>
                <c:pt idx="18">
                  <c:v>86.13833341913617</c:v>
                </c:pt>
                <c:pt idx="19">
                  <c:v>88.21136780164661</c:v>
                </c:pt>
                <c:pt idx="20">
                  <c:v>90.00001238158856</c:v>
                </c:pt>
              </c:numCache>
            </c:numRef>
          </c:yVal>
          <c:smooth val="1"/>
        </c:ser>
        <c:dLbls>
          <c:showLegendKey val="0"/>
          <c:showVal val="0"/>
          <c:showCatName val="0"/>
          <c:showSerName val="0"/>
          <c:showPercent val="0"/>
          <c:showBubbleSize val="0"/>
        </c:dLbls>
        <c:axId val="-2082230064"/>
        <c:axId val="-2088192704"/>
      </c:scatterChart>
      <c:valAx>
        <c:axId val="-2082230064"/>
        <c:scaling>
          <c:orientation val="minMax"/>
        </c:scaling>
        <c:delete val="0"/>
        <c:axPos val="b"/>
        <c:title>
          <c:tx>
            <c:rich>
              <a:bodyPr/>
              <a:lstStyle/>
              <a:p>
                <a:pPr>
                  <a:defRPr sz="1175" b="1" i="0" u="none" strike="noStrike" baseline="0">
                    <a:solidFill>
                      <a:srgbClr val="000000"/>
                    </a:solidFill>
                    <a:latin typeface="Arial"/>
                    <a:ea typeface="Arial"/>
                    <a:cs typeface="Arial"/>
                  </a:defRPr>
                </a:pPr>
                <a:r>
                  <a:rPr lang="pt-BR"/>
                  <a:t>Idade Operacional - % de Vida Útil em anos</a:t>
                </a:r>
              </a:p>
            </c:rich>
          </c:tx>
          <c:layout>
            <c:manualLayout>
              <c:xMode val="edge"/>
              <c:yMode val="edge"/>
              <c:x val="0.303748199325884"/>
              <c:y val="0.886134806065908"/>
            </c:manualLayout>
          </c:layout>
          <c:overlay val="0"/>
          <c:spPr>
            <a:noFill/>
            <a:ln w="25400">
              <a:noFill/>
            </a:ln>
          </c:spPr>
        </c:title>
        <c:numFmt formatCode="_(* #,##0.00_);_(* \(#,##0.0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t-BR"/>
          </a:p>
        </c:txPr>
        <c:crossAx val="-2088192704"/>
        <c:crosses val="autoZero"/>
        <c:crossBetween val="midCat"/>
        <c:majorUnit val="2.0"/>
        <c:minorUnit val="1.0"/>
      </c:valAx>
      <c:valAx>
        <c:axId val="-2088192704"/>
        <c:scaling>
          <c:orientation val="minMax"/>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pt-BR"/>
                  <a:t>Percentual</a:t>
                </a:r>
              </a:p>
            </c:rich>
          </c:tx>
          <c:layout>
            <c:manualLayout>
              <c:xMode val="edge"/>
              <c:yMode val="edge"/>
              <c:x val="0.0117931217745206"/>
              <c:y val="0.32958916593759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pt-BR"/>
          </a:p>
        </c:txPr>
        <c:crossAx val="-2082230064"/>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pt-BR"/>
    </a:p>
  </c:txPr>
  <c:printSettings>
    <c:headerFooter/>
    <c:pageMargins b="0.984251969" l="0.787401575" r="0.787401575" t="0.984251969" header="0.492125985" footer="0.49212598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pt-BR"/>
              <a:t>Depreciação pelo método da 'Linha Reta'</a:t>
            </a:r>
          </a:p>
        </c:rich>
      </c:tx>
      <c:layout>
        <c:manualLayout>
          <c:xMode val="edge"/>
          <c:yMode val="edge"/>
          <c:x val="0.129455993000875"/>
          <c:y val="0.0332408992354217"/>
        </c:manualLayout>
      </c:layout>
      <c:overlay val="0"/>
      <c:spPr>
        <a:noFill/>
        <a:ln w="25400">
          <a:noFill/>
        </a:ln>
      </c:spPr>
    </c:title>
    <c:autoTitleDeleted val="0"/>
    <c:plotArea>
      <c:layout>
        <c:manualLayout>
          <c:layoutTarget val="inner"/>
          <c:xMode val="edge"/>
          <c:yMode val="edge"/>
          <c:x val="0.185741088180113"/>
          <c:y val="0.313019813965945"/>
          <c:w val="0.787992495309568"/>
          <c:h val="0.434903635333215"/>
        </c:manualLayout>
      </c:layout>
      <c:lineChart>
        <c:grouping val="stacked"/>
        <c:varyColors val="0"/>
        <c:ser>
          <c:idx val="1"/>
          <c:order val="0"/>
          <c:spPr>
            <a:ln w="12700">
              <a:solidFill>
                <a:srgbClr val="0000D4"/>
              </a:solidFill>
              <a:prstDash val="solid"/>
            </a:ln>
          </c:spPr>
          <c:marker>
            <c:symbol val="none"/>
          </c:marker>
          <c:val>
            <c:numRef>
              <c:f>LinhaReta!$C$41:$C$61</c:f>
              <c:numCache>
                <c:formatCode>_(* #,##0.00_);_(* \(#,##0.00\);_(* "-"??_);_(@_)</c:formatCode>
                <c:ptCount val="21"/>
                <c:pt idx="0">
                  <c:v>0.0</c:v>
                </c:pt>
                <c:pt idx="1">
                  <c:v>4.5</c:v>
                </c:pt>
                <c:pt idx="2">
                  <c:v>9.0</c:v>
                </c:pt>
                <c:pt idx="3">
                  <c:v>13.5</c:v>
                </c:pt>
                <c:pt idx="4">
                  <c:v>18.0</c:v>
                </c:pt>
                <c:pt idx="5">
                  <c:v>22.5</c:v>
                </c:pt>
                <c:pt idx="6">
                  <c:v>27.0</c:v>
                </c:pt>
                <c:pt idx="7">
                  <c:v>31.5</c:v>
                </c:pt>
                <c:pt idx="8">
                  <c:v>36.0</c:v>
                </c:pt>
                <c:pt idx="9">
                  <c:v>40.5</c:v>
                </c:pt>
                <c:pt idx="10">
                  <c:v>45</c:v>
                </c:pt>
                <c:pt idx="11">
                  <c:v>49.5</c:v>
                </c:pt>
                <c:pt idx="12">
                  <c:v>54.0</c:v>
                </c:pt>
                <c:pt idx="13">
                  <c:v>58.5</c:v>
                </c:pt>
                <c:pt idx="14">
                  <c:v>63.0</c:v>
                </c:pt>
                <c:pt idx="15">
                  <c:v>67.5</c:v>
                </c:pt>
                <c:pt idx="16">
                  <c:v>72.0</c:v>
                </c:pt>
                <c:pt idx="17">
                  <c:v>76.5</c:v>
                </c:pt>
                <c:pt idx="18">
                  <c:v>81.0</c:v>
                </c:pt>
                <c:pt idx="19">
                  <c:v>85.5</c:v>
                </c:pt>
                <c:pt idx="20">
                  <c:v>89.99999999999998</c:v>
                </c:pt>
              </c:numCache>
            </c:numRef>
          </c:val>
          <c:smooth val="0"/>
        </c:ser>
        <c:dLbls>
          <c:showLegendKey val="0"/>
          <c:showVal val="0"/>
          <c:showCatName val="0"/>
          <c:showSerName val="0"/>
          <c:showPercent val="0"/>
          <c:showBubbleSize val="0"/>
        </c:dLbls>
        <c:smooth val="0"/>
        <c:axId val="-2072530032"/>
        <c:axId val="-2083761792"/>
      </c:lineChart>
      <c:catAx>
        <c:axId val="-2072530032"/>
        <c:scaling>
          <c:orientation val="minMax"/>
        </c:scaling>
        <c:delete val="0"/>
        <c:axPos val="b"/>
        <c:title>
          <c:tx>
            <c:rich>
              <a:bodyPr/>
              <a:lstStyle/>
              <a:p>
                <a:pPr>
                  <a:defRPr sz="1425" b="1" i="0" u="none" strike="noStrike" baseline="0">
                    <a:solidFill>
                      <a:srgbClr val="000000"/>
                    </a:solidFill>
                    <a:latin typeface="Arial"/>
                    <a:ea typeface="Arial"/>
                    <a:cs typeface="Arial"/>
                  </a:defRPr>
                </a:pPr>
                <a:r>
                  <a:rPr lang="pt-BR"/>
                  <a:t>Idade Aparente - % da Vida Útil</a:t>
                </a:r>
              </a:p>
            </c:rich>
          </c:tx>
          <c:layout>
            <c:manualLayout>
              <c:xMode val="edge"/>
              <c:yMode val="edge"/>
              <c:x val="0.311444619422572"/>
              <c:y val="0.8698071436722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pt-BR"/>
          </a:p>
        </c:txPr>
        <c:crossAx val="-2083761792"/>
        <c:crosses val="autoZero"/>
        <c:auto val="1"/>
        <c:lblAlgn val="ctr"/>
        <c:lblOffset val="100"/>
        <c:tickLblSkip val="3"/>
        <c:tickMarkSkip val="10"/>
        <c:noMultiLvlLbl val="0"/>
      </c:catAx>
      <c:valAx>
        <c:axId val="-2083761792"/>
        <c:scaling>
          <c:orientation val="minMax"/>
          <c:max val="100.0"/>
        </c:scaling>
        <c:delete val="0"/>
        <c:axPos val="l"/>
        <c:majorGridlines>
          <c:spPr>
            <a:ln w="3175">
              <a:solidFill>
                <a:srgbClr val="000000"/>
              </a:solidFill>
              <a:prstDash val="solid"/>
            </a:ln>
          </c:spPr>
        </c:majorGridlines>
        <c:title>
          <c:tx>
            <c:rich>
              <a:bodyPr/>
              <a:lstStyle/>
              <a:p>
                <a:pPr>
                  <a:defRPr sz="1425" b="1" i="0" u="none" strike="noStrike" baseline="0">
                    <a:solidFill>
                      <a:srgbClr val="000000"/>
                    </a:solidFill>
                    <a:latin typeface="Arial"/>
                    <a:ea typeface="Arial"/>
                    <a:cs typeface="Arial"/>
                  </a:defRPr>
                </a:pPr>
                <a:r>
                  <a:rPr lang="pt-BR"/>
                  <a:t>Percentual</a:t>
                </a:r>
              </a:p>
            </c:rich>
          </c:tx>
          <c:layout>
            <c:manualLayout>
              <c:xMode val="edge"/>
              <c:yMode val="edge"/>
              <c:x val="0.0300187226596675"/>
              <c:y val="0.3822720529499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pt-BR"/>
          </a:p>
        </c:txPr>
        <c:crossAx val="-20725300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425" b="0" i="0" u="none" strike="noStrike" baseline="0">
          <a:solidFill>
            <a:srgbClr val="000000"/>
          </a:solidFill>
          <a:latin typeface="Arial"/>
          <a:ea typeface="Arial"/>
          <a:cs typeface="Arial"/>
        </a:defRPr>
      </a:pPr>
      <a:endParaRPr lang="pt-BR"/>
    </a:p>
  </c:txPr>
  <c:printSettings>
    <c:headerFooter/>
    <c:pageMargins b="0.984251969" l="0.787401575" r="0.787401575" t="0.984251969" header="0.492125985" footer="0.49212598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Arial"/>
                <a:ea typeface="Arial"/>
                <a:cs typeface="Arial"/>
              </a:defRPr>
            </a:pPr>
            <a:r>
              <a:rPr lang="pt-BR"/>
              <a:t>Depreciação pelo método de 'Kuentzle'</a:t>
            </a:r>
          </a:p>
        </c:rich>
      </c:tx>
      <c:layout>
        <c:manualLayout>
          <c:xMode val="edge"/>
          <c:yMode val="edge"/>
          <c:x val="0.19917885264342"/>
          <c:y val="0.0326087563522645"/>
        </c:manualLayout>
      </c:layout>
      <c:overlay val="0"/>
      <c:spPr>
        <a:noFill/>
        <a:ln w="25400">
          <a:noFill/>
        </a:ln>
      </c:spPr>
    </c:title>
    <c:autoTitleDeleted val="0"/>
    <c:plotArea>
      <c:layout>
        <c:manualLayout>
          <c:layoutTarget val="inner"/>
          <c:xMode val="edge"/>
          <c:yMode val="edge"/>
          <c:x val="0.180698333124452"/>
          <c:y val="0.28804347826087"/>
          <c:w val="0.790555207419476"/>
          <c:h val="0.494565217391304"/>
        </c:manualLayout>
      </c:layout>
      <c:lineChart>
        <c:grouping val="stacked"/>
        <c:varyColors val="0"/>
        <c:ser>
          <c:idx val="1"/>
          <c:order val="0"/>
          <c:spPr>
            <a:ln w="12700">
              <a:solidFill>
                <a:srgbClr val="339966"/>
              </a:solidFill>
              <a:prstDash val="solid"/>
            </a:ln>
          </c:spPr>
          <c:marker>
            <c:symbol val="none"/>
          </c:marker>
          <c:val>
            <c:numRef>
              <c:f>Kuentzle!$C$46:$C$66</c:f>
              <c:numCache>
                <c:formatCode>0.00</c:formatCode>
                <c:ptCount val="21"/>
                <c:pt idx="0">
                  <c:v>0.0</c:v>
                </c:pt>
                <c:pt idx="1">
                  <c:v>0.225</c:v>
                </c:pt>
                <c:pt idx="2">
                  <c:v>0.9</c:v>
                </c:pt>
                <c:pt idx="3">
                  <c:v>2.025</c:v>
                </c:pt>
                <c:pt idx="4">
                  <c:v>3.6</c:v>
                </c:pt>
                <c:pt idx="5">
                  <c:v>5.625</c:v>
                </c:pt>
                <c:pt idx="6">
                  <c:v>8.1</c:v>
                </c:pt>
                <c:pt idx="7">
                  <c:v>11.025</c:v>
                </c:pt>
                <c:pt idx="8">
                  <c:v>14.4</c:v>
                </c:pt>
                <c:pt idx="9">
                  <c:v>18.225</c:v>
                </c:pt>
                <c:pt idx="10">
                  <c:v>22.5</c:v>
                </c:pt>
                <c:pt idx="11">
                  <c:v>27.225</c:v>
                </c:pt>
                <c:pt idx="12">
                  <c:v>32.4</c:v>
                </c:pt>
                <c:pt idx="13">
                  <c:v>38.025</c:v>
                </c:pt>
                <c:pt idx="14">
                  <c:v>44.1</c:v>
                </c:pt>
                <c:pt idx="15">
                  <c:v>50.625</c:v>
                </c:pt>
                <c:pt idx="16">
                  <c:v>57.60000000000001</c:v>
                </c:pt>
                <c:pt idx="17">
                  <c:v>65.025</c:v>
                </c:pt>
                <c:pt idx="18">
                  <c:v>72.9</c:v>
                </c:pt>
                <c:pt idx="19">
                  <c:v>81.225</c:v>
                </c:pt>
                <c:pt idx="20">
                  <c:v>90.0</c:v>
                </c:pt>
              </c:numCache>
            </c:numRef>
          </c:val>
          <c:smooth val="0"/>
        </c:ser>
        <c:dLbls>
          <c:showLegendKey val="0"/>
          <c:showVal val="0"/>
          <c:showCatName val="0"/>
          <c:showSerName val="0"/>
          <c:showPercent val="0"/>
          <c:showBubbleSize val="0"/>
        </c:dLbls>
        <c:smooth val="0"/>
        <c:axId val="-2090940976"/>
        <c:axId val="-2077840832"/>
      </c:lineChart>
      <c:catAx>
        <c:axId val="-209094097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pt-BR"/>
                  <a:t>Idade Aparente - % da Vida Útil</a:t>
                </a:r>
              </a:p>
            </c:rich>
          </c:tx>
          <c:layout>
            <c:manualLayout>
              <c:xMode val="edge"/>
              <c:yMode val="edge"/>
              <c:x val="0.32854244914301"/>
              <c:y val="0.8804347461886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pt-BR"/>
          </a:p>
        </c:txPr>
        <c:crossAx val="-2077840832"/>
        <c:crosses val="autoZero"/>
        <c:auto val="1"/>
        <c:lblAlgn val="ctr"/>
        <c:lblOffset val="100"/>
        <c:tickLblSkip val="3"/>
        <c:tickMarkSkip val="10"/>
        <c:noMultiLvlLbl val="0"/>
      </c:catAx>
      <c:valAx>
        <c:axId val="-2077840832"/>
        <c:scaling>
          <c:orientation val="minMax"/>
          <c:max val="100.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pt-BR"/>
                  <a:t>Percentual</a:t>
                </a:r>
              </a:p>
            </c:rich>
          </c:tx>
          <c:layout>
            <c:manualLayout>
              <c:xMode val="edge"/>
              <c:yMode val="edge"/>
              <c:x val="0.0328542830451278"/>
              <c:y val="0.4157608756352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pt-BR"/>
          </a:p>
        </c:txPr>
        <c:crossAx val="-20909409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pt-BR"/>
    </a:p>
  </c:txPr>
  <c:printSettings>
    <c:headerFooter/>
    <c:pageMargins b="0.984251969" l="0.787401575" r="0.787401575" t="0.984251969" header="0.492125985" footer="0.49212598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pt-BR"/>
              <a:t>Depreciação pelo método de 'Heidecke'</a:t>
            </a:r>
          </a:p>
        </c:rich>
      </c:tx>
      <c:layout>
        <c:manualLayout>
          <c:xMode val="edge"/>
          <c:yMode val="edge"/>
          <c:x val="0.214484754003065"/>
          <c:y val="0.0379310843025356"/>
        </c:manualLayout>
      </c:layout>
      <c:overlay val="0"/>
      <c:spPr>
        <a:noFill/>
        <a:ln w="25400">
          <a:noFill/>
        </a:ln>
      </c:spPr>
    </c:title>
    <c:autoTitleDeleted val="0"/>
    <c:plotArea>
      <c:layout>
        <c:manualLayout>
          <c:layoutTarget val="inner"/>
          <c:xMode val="edge"/>
          <c:yMode val="edge"/>
          <c:x val="0.272980501392758"/>
          <c:y val="0.293103448275862"/>
          <c:w val="0.688022284122563"/>
          <c:h val="0.468965517241379"/>
        </c:manualLayout>
      </c:layout>
      <c:lineChart>
        <c:grouping val="standard"/>
        <c:varyColors val="0"/>
        <c:ser>
          <c:idx val="0"/>
          <c:order val="0"/>
          <c:spPr>
            <a:ln w="12700">
              <a:solidFill>
                <a:srgbClr val="DD0806"/>
              </a:solidFill>
              <a:prstDash val="solid"/>
            </a:ln>
          </c:spPr>
          <c:marker>
            <c:symbol val="diamond"/>
            <c:size val="5"/>
            <c:spPr>
              <a:solidFill>
                <a:srgbClr val="000090"/>
              </a:solidFill>
              <a:ln>
                <a:solidFill>
                  <a:srgbClr val="000090"/>
                </a:solidFill>
                <a:prstDash val="solid"/>
              </a:ln>
            </c:spPr>
          </c:marker>
          <c:val>
            <c:numRef>
              <c:f>Heidecke!$C$30:$C$38</c:f>
              <c:numCache>
                <c:formatCode>_(* #,##0.00_);_(* \(#,##0.00\);_(* "-"??_);_(@_)</c:formatCode>
                <c:ptCount val="9"/>
                <c:pt idx="0">
                  <c:v>0.0</c:v>
                </c:pt>
                <c:pt idx="1">
                  <c:v>0.032</c:v>
                </c:pt>
                <c:pt idx="2">
                  <c:v>2.52</c:v>
                </c:pt>
                <c:pt idx="3">
                  <c:v>8.09</c:v>
                </c:pt>
                <c:pt idx="4">
                  <c:v>18.1</c:v>
                </c:pt>
                <c:pt idx="5">
                  <c:v>33.2</c:v>
                </c:pt>
                <c:pt idx="6">
                  <c:v>51.6</c:v>
                </c:pt>
                <c:pt idx="7">
                  <c:v>75.2</c:v>
                </c:pt>
                <c:pt idx="8">
                  <c:v>100.0</c:v>
                </c:pt>
              </c:numCache>
            </c:numRef>
          </c:val>
          <c:smooth val="0"/>
        </c:ser>
        <c:dLbls>
          <c:showLegendKey val="0"/>
          <c:showVal val="0"/>
          <c:showCatName val="0"/>
          <c:showSerName val="0"/>
          <c:showPercent val="0"/>
          <c:showBubbleSize val="0"/>
        </c:dLbls>
        <c:marker val="1"/>
        <c:smooth val="0"/>
        <c:axId val="-2074404192"/>
        <c:axId val="-2074476448"/>
      </c:lineChart>
      <c:catAx>
        <c:axId val="-2074404192"/>
        <c:scaling>
          <c:orientation val="minMax"/>
        </c:scaling>
        <c:delete val="0"/>
        <c:axPos val="b"/>
        <c:title>
          <c:tx>
            <c:rich>
              <a:bodyPr/>
              <a:lstStyle/>
              <a:p>
                <a:pPr>
                  <a:defRPr sz="950" b="1" i="0" u="none" strike="noStrike" baseline="0">
                    <a:solidFill>
                      <a:srgbClr val="000000"/>
                    </a:solidFill>
                    <a:latin typeface="Arial"/>
                    <a:ea typeface="Arial"/>
                    <a:cs typeface="Arial"/>
                  </a:defRPr>
                </a:pPr>
                <a:r>
                  <a:rPr lang="pt-BR"/>
                  <a:t>Estado</a:t>
                </a:r>
              </a:p>
            </c:rich>
          </c:tx>
          <c:layout>
            <c:manualLayout>
              <c:xMode val="edge"/>
              <c:yMode val="edge"/>
              <c:x val="0.551531998097553"/>
              <c:y val="0.8689655421512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pt-BR"/>
          </a:p>
        </c:txPr>
        <c:crossAx val="-2074476448"/>
        <c:crosses val="autoZero"/>
        <c:auto val="1"/>
        <c:lblAlgn val="ctr"/>
        <c:lblOffset val="100"/>
        <c:tickLblSkip val="1"/>
        <c:tickMarkSkip val="1"/>
        <c:noMultiLvlLbl val="0"/>
      </c:catAx>
      <c:valAx>
        <c:axId val="-2074476448"/>
        <c:scaling>
          <c:orientation val="minMax"/>
          <c:max val="100.0"/>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pt-BR"/>
                  <a:t>Percentual</a:t>
                </a:r>
              </a:p>
            </c:rich>
          </c:tx>
          <c:layout>
            <c:manualLayout>
              <c:xMode val="edge"/>
              <c:yMode val="edge"/>
              <c:x val="0.0445682502774401"/>
              <c:y val="0.403448313226902"/>
            </c:manualLayout>
          </c:layout>
          <c:overlay val="0"/>
          <c:spPr>
            <a:noFill/>
            <a:ln w="25400">
              <a:noFill/>
            </a:ln>
          </c:spPr>
        </c:title>
        <c:numFmt formatCode="_(* #,##0.00_);_(* \(#,##0.00\);_(* &quot;-&quot;??_);_(@_)"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pt-BR"/>
          </a:p>
        </c:txPr>
        <c:crossAx val="-20744041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pt-BR"/>
    </a:p>
  </c:txPr>
  <c:printSettings>
    <c:headerFooter/>
    <c:pageMargins b="0.984251969" l="0.787401575" r="0.787401575" t="0.984251969" header="0.492125985" footer="0.49212598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chart" Target="../charts/chart2.xml"/><Relationship Id="rId3"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76200</xdr:colOff>
      <xdr:row>1</xdr:row>
      <xdr:rowOff>12700</xdr:rowOff>
    </xdr:from>
    <xdr:to>
      <xdr:col>12</xdr:col>
      <xdr:colOff>63500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63499</xdr:colOff>
      <xdr:row>26</xdr:row>
      <xdr:rowOff>152400</xdr:rowOff>
    </xdr:from>
    <xdr:to>
      <xdr:col>10</xdr:col>
      <xdr:colOff>774701</xdr:colOff>
      <xdr:row>32</xdr:row>
      <xdr:rowOff>47927</xdr:rowOff>
    </xdr:to>
    <xdr:pic>
      <xdr:nvPicPr>
        <xdr:cNvPr id="4"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86099" y="5638800"/>
          <a:ext cx="4648202" cy="1114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203200</xdr:colOff>
      <xdr:row>6</xdr:row>
      <xdr:rowOff>165100</xdr:rowOff>
    </xdr:from>
    <xdr:to>
      <xdr:col>13</xdr:col>
      <xdr:colOff>762000</xdr:colOff>
      <xdr:row>20</xdr:row>
      <xdr:rowOff>38100</xdr:rowOff>
    </xdr:to>
    <xdr:graphicFrame macro="">
      <xdr:nvGraphicFramePr>
        <xdr:cNvPr id="5"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152400</xdr:colOff>
      <xdr:row>21</xdr:row>
      <xdr:rowOff>50800</xdr:rowOff>
    </xdr:from>
    <xdr:to>
      <xdr:col>10</xdr:col>
      <xdr:colOff>673100</xdr:colOff>
      <xdr:row>27</xdr:row>
      <xdr:rowOff>101600</xdr:rowOff>
    </xdr:to>
    <xdr:pic>
      <xdr:nvPicPr>
        <xdr:cNvPr id="6" name="Picture 2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9100" y="4292600"/>
          <a:ext cx="4457700"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63500</xdr:rowOff>
    </xdr:from>
    <xdr:to>
      <xdr:col>11</xdr:col>
      <xdr:colOff>508000</xdr:colOff>
      <xdr:row>21</xdr:row>
      <xdr:rowOff>25400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0</xdr:row>
      <xdr:rowOff>50800</xdr:rowOff>
    </xdr:from>
    <xdr:to>
      <xdr:col>11</xdr:col>
      <xdr:colOff>508000</xdr:colOff>
      <xdr:row>21</xdr:row>
      <xdr:rowOff>63500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279400</xdr:colOff>
      <xdr:row>17</xdr:row>
      <xdr:rowOff>101600</xdr:rowOff>
    </xdr:from>
    <xdr:to>
      <xdr:col>2</xdr:col>
      <xdr:colOff>254000</xdr:colOff>
      <xdr:row>20</xdr:row>
      <xdr:rowOff>152400</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3009900"/>
          <a:ext cx="6731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25400</xdr:colOff>
      <xdr:row>2</xdr:row>
      <xdr:rowOff>0</xdr:rowOff>
    </xdr:from>
    <xdr:to>
      <xdr:col>13</xdr:col>
      <xdr:colOff>368300</xdr:colOff>
      <xdr:row>14</xdr:row>
      <xdr:rowOff>139700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113"/>
  <sheetViews>
    <sheetView showGridLines="0" tabSelected="1" topLeftCell="B58" zoomScale="178" workbookViewId="0">
      <selection activeCell="C66" sqref="C66:K66"/>
    </sheetView>
  </sheetViews>
  <sheetFormatPr baseColWidth="10" defaultColWidth="8.83203125" defaultRowHeight="16" x14ac:dyDescent="0.2"/>
  <cols>
    <col min="2" max="2" width="17.5" customWidth="1"/>
    <col min="3" max="3" width="8.83203125" style="210"/>
    <col min="4" max="4" width="9.5" customWidth="1"/>
    <col min="5" max="5" width="13.33203125" customWidth="1"/>
    <col min="7" max="7" width="11.1640625" customWidth="1"/>
    <col min="8" max="8" width="10.83203125" customWidth="1"/>
    <col min="9" max="9" width="9.33203125" customWidth="1"/>
    <col min="11" max="11" width="13.6640625" customWidth="1"/>
    <col min="14" max="14" width="10.1640625" style="1" customWidth="1"/>
    <col min="15" max="15" width="3" customWidth="1"/>
    <col min="16" max="16" width="4.1640625" customWidth="1"/>
    <col min="17" max="17" width="14.5" customWidth="1"/>
    <col min="18" max="18" width="25.5" customWidth="1"/>
    <col min="19" max="19" width="0.6640625" customWidth="1"/>
    <col min="20" max="20" width="6.5" customWidth="1"/>
    <col min="21" max="21" width="9.5" customWidth="1"/>
    <col min="22" max="22" width="12.5" customWidth="1"/>
    <col min="23" max="23" width="3.83203125" customWidth="1"/>
    <col min="24" max="24" width="2.1640625" customWidth="1"/>
    <col min="25" max="25" width="18.1640625" customWidth="1"/>
    <col min="26" max="26" width="4.1640625" customWidth="1"/>
    <col min="27" max="27" width="14.1640625" style="2" customWidth="1"/>
    <col min="28" max="28" width="11.5" style="2" bestFit="1" customWidth="1"/>
    <col min="29" max="36" width="9.1640625" style="2" customWidth="1"/>
  </cols>
  <sheetData>
    <row r="1" spans="2:36" s="1" customFormat="1" ht="17" thickBot="1" x14ac:dyDescent="0.25">
      <c r="C1" s="209"/>
      <c r="O1" s="255"/>
      <c r="P1" s="255"/>
      <c r="Q1" s="255"/>
      <c r="R1" s="255"/>
      <c r="AA1" s="2"/>
      <c r="AB1" s="2"/>
      <c r="AC1" s="2"/>
      <c r="AD1" s="2"/>
      <c r="AE1" s="2"/>
      <c r="AF1" s="2"/>
      <c r="AG1" s="2"/>
      <c r="AH1" s="2"/>
      <c r="AI1" s="2"/>
      <c r="AJ1" s="2"/>
    </row>
    <row r="2" spans="2:36" ht="20" x14ac:dyDescent="0.2">
      <c r="N2"/>
      <c r="O2" s="256" t="s">
        <v>0</v>
      </c>
      <c r="P2" s="257"/>
      <c r="Q2" s="257"/>
      <c r="R2" s="257"/>
      <c r="S2" s="257"/>
      <c r="T2" s="257"/>
      <c r="U2" s="257"/>
      <c r="V2" s="257"/>
      <c r="W2" s="257"/>
      <c r="X2" s="257"/>
      <c r="Y2" s="258"/>
      <c r="Z2" s="3"/>
    </row>
    <row r="3" spans="2:36" ht="3.75" customHeight="1" x14ac:dyDescent="0.2">
      <c r="N3"/>
      <c r="O3" s="4"/>
      <c r="P3" s="2"/>
      <c r="Q3" s="2"/>
      <c r="R3" s="2"/>
      <c r="S3" s="2"/>
      <c r="T3" s="2"/>
      <c r="U3" s="2"/>
      <c r="V3" s="2"/>
      <c r="W3" s="2"/>
      <c r="X3" s="2"/>
      <c r="Y3" s="5"/>
      <c r="Z3" s="2"/>
    </row>
    <row r="4" spans="2:36" ht="29" x14ac:dyDescent="0.35">
      <c r="B4" s="228" t="s">
        <v>141</v>
      </c>
      <c r="N4"/>
      <c r="O4" s="4"/>
      <c r="V4" s="2"/>
      <c r="W4" s="2"/>
      <c r="X4" s="2"/>
      <c r="Z4" s="2"/>
    </row>
    <row r="5" spans="2:36" x14ac:dyDescent="0.2">
      <c r="G5" s="259" t="s">
        <v>1</v>
      </c>
      <c r="H5" s="259"/>
      <c r="I5" s="259"/>
      <c r="J5" s="259"/>
      <c r="K5" s="259"/>
      <c r="L5" s="259"/>
      <c r="M5" s="259"/>
      <c r="N5"/>
      <c r="O5" s="4"/>
      <c r="V5" s="2"/>
      <c r="W5" s="2"/>
      <c r="X5" s="2"/>
      <c r="Z5" s="2"/>
    </row>
    <row r="6" spans="2:36" ht="22" thickBot="1" x14ac:dyDescent="0.3">
      <c r="B6" s="388" t="s">
        <v>142</v>
      </c>
      <c r="G6" s="259"/>
      <c r="H6" s="259"/>
      <c r="I6" s="259"/>
      <c r="J6" s="259"/>
      <c r="K6" s="259"/>
      <c r="L6" s="259"/>
      <c r="M6" s="259"/>
      <c r="N6"/>
      <c r="O6" s="4"/>
      <c r="P6" s="6"/>
      <c r="Q6" s="6"/>
      <c r="R6" s="6"/>
      <c r="S6" s="2"/>
      <c r="T6" s="2"/>
      <c r="U6" s="2"/>
      <c r="V6" s="2"/>
      <c r="W6" s="2"/>
      <c r="X6" s="2"/>
      <c r="Y6" s="7"/>
      <c r="Z6" s="2"/>
    </row>
    <row r="7" spans="2:36" ht="19" thickBot="1" x14ac:dyDescent="0.25">
      <c r="N7"/>
      <c r="O7" s="8"/>
      <c r="P7" s="6"/>
      <c r="Q7" s="6"/>
      <c r="R7" s="6"/>
      <c r="S7" s="2"/>
      <c r="T7" s="2"/>
      <c r="U7" s="2"/>
      <c r="V7" s="2"/>
      <c r="W7" s="2"/>
      <c r="X7" s="2"/>
      <c r="Y7" s="260" t="s">
        <v>3</v>
      </c>
      <c r="Z7" s="2"/>
    </row>
    <row r="8" spans="2:36" ht="22" thickBot="1" x14ac:dyDescent="0.3">
      <c r="B8" s="389" t="s">
        <v>143</v>
      </c>
      <c r="C8" s="390"/>
      <c r="D8" s="386"/>
      <c r="E8" s="386"/>
      <c r="F8" s="386"/>
      <c r="G8" s="386"/>
      <c r="H8" s="386"/>
      <c r="I8" s="386"/>
      <c r="J8" s="386"/>
      <c r="K8" s="386"/>
      <c r="L8" s="386"/>
      <c r="M8" s="28"/>
      <c r="N8"/>
      <c r="O8" s="9"/>
      <c r="P8" s="10"/>
      <c r="Q8" s="10"/>
      <c r="R8" s="10"/>
      <c r="S8" s="11"/>
      <c r="T8" s="2"/>
      <c r="U8" s="2"/>
      <c r="V8" s="2"/>
      <c r="W8" s="2"/>
      <c r="X8" s="2"/>
      <c r="Y8" s="261"/>
      <c r="Z8" s="2"/>
    </row>
    <row r="9" spans="2:36" ht="17" thickBot="1" x14ac:dyDescent="0.25">
      <c r="B9" s="31"/>
      <c r="C9" s="391"/>
      <c r="D9" s="38"/>
      <c r="E9" s="38"/>
      <c r="F9" s="38"/>
      <c r="G9" s="38"/>
      <c r="H9" s="38"/>
      <c r="I9" s="38"/>
      <c r="J9" s="38"/>
      <c r="K9" s="38"/>
      <c r="L9" s="38"/>
      <c r="M9" s="387"/>
      <c r="N9"/>
      <c r="O9" s="4"/>
      <c r="P9" s="262" t="s">
        <v>4</v>
      </c>
      <c r="Q9" s="263"/>
      <c r="R9" s="12" t="s">
        <v>5</v>
      </c>
      <c r="S9" s="5"/>
      <c r="T9" s="2"/>
      <c r="U9" s="13" t="s">
        <v>6</v>
      </c>
      <c r="W9" s="14" t="s">
        <v>7</v>
      </c>
      <c r="X9" s="2"/>
      <c r="Z9" s="2"/>
    </row>
    <row r="10" spans="2:36" x14ac:dyDescent="0.2">
      <c r="N10"/>
      <c r="O10" s="4"/>
      <c r="P10" s="264"/>
      <c r="Q10" s="265"/>
      <c r="R10" s="15" t="s">
        <v>8</v>
      </c>
      <c r="S10" s="5"/>
      <c r="T10" s="2"/>
      <c r="U10" s="16" t="s">
        <v>6</v>
      </c>
      <c r="W10" s="17" t="s">
        <v>7</v>
      </c>
      <c r="X10" s="2"/>
      <c r="Z10" s="2"/>
    </row>
    <row r="11" spans="2:36" ht="17" thickBot="1" x14ac:dyDescent="0.25">
      <c r="N11"/>
      <c r="O11" s="4"/>
      <c r="P11" s="266"/>
      <c r="Q11" s="267"/>
      <c r="R11" s="18" t="s">
        <v>9</v>
      </c>
      <c r="S11" s="5"/>
      <c r="T11" s="2"/>
      <c r="X11" s="2"/>
      <c r="Z11" s="2"/>
      <c r="AB11" s="19"/>
    </row>
    <row r="12" spans="2:36" x14ac:dyDescent="0.2">
      <c r="B12" s="393">
        <v>3</v>
      </c>
      <c r="C12" s="394" t="s">
        <v>10</v>
      </c>
      <c r="D12" s="402" t="s">
        <v>11</v>
      </c>
      <c r="E12" s="403"/>
      <c r="N12"/>
      <c r="O12" s="4"/>
      <c r="P12" s="2"/>
      <c r="Q12" s="2"/>
      <c r="R12" s="2"/>
      <c r="S12" s="5"/>
      <c r="T12" s="2"/>
      <c r="U12" s="2"/>
      <c r="V12" s="2"/>
      <c r="W12" s="2"/>
      <c r="X12" s="2"/>
      <c r="Y12" s="20"/>
      <c r="Z12" s="2"/>
      <c r="AF12" s="21"/>
      <c r="AG12" s="21"/>
    </row>
    <row r="13" spans="2:36" x14ac:dyDescent="0.2">
      <c r="B13" s="395">
        <v>5</v>
      </c>
      <c r="C13" s="396" t="s">
        <v>12</v>
      </c>
      <c r="D13" s="404" t="s">
        <v>13</v>
      </c>
      <c r="E13" s="405"/>
      <c r="N13"/>
      <c r="O13" s="4"/>
      <c r="S13" s="5"/>
      <c r="T13" s="252" t="str">
        <f>IF(B12&gt;B13,"Idade Aparente &gt; Vida Útil?"," ")</f>
        <v xml:space="preserve"> </v>
      </c>
      <c r="U13" s="253"/>
      <c r="V13" s="253"/>
      <c r="W13" s="253"/>
      <c r="X13" s="254"/>
      <c r="Y13" s="20"/>
      <c r="Z13" s="2"/>
    </row>
    <row r="14" spans="2:36" ht="17" thickBot="1" x14ac:dyDescent="0.25">
      <c r="B14" s="397">
        <v>10</v>
      </c>
      <c r="C14" s="398" t="s">
        <v>14</v>
      </c>
      <c r="D14" s="406" t="s">
        <v>15</v>
      </c>
      <c r="E14" s="407"/>
      <c r="N14"/>
      <c r="O14" s="4"/>
      <c r="S14" s="5"/>
      <c r="T14" s="2"/>
      <c r="U14" s="2"/>
      <c r="V14" s="2"/>
      <c r="W14" s="2"/>
      <c r="X14" s="2"/>
      <c r="Y14" s="20"/>
      <c r="Z14" s="2"/>
    </row>
    <row r="15" spans="2:36" x14ac:dyDescent="0.2">
      <c r="N15"/>
      <c r="O15" s="4"/>
      <c r="S15" s="5"/>
      <c r="T15" s="268" t="str">
        <f>IF(B14&gt;100,"Valor Residual &gt; 100%"," ")</f>
        <v xml:space="preserve"> </v>
      </c>
      <c r="U15" s="269"/>
      <c r="V15" s="269"/>
      <c r="W15" s="269"/>
      <c r="X15" s="270"/>
      <c r="Y15" s="20"/>
      <c r="Z15" s="2"/>
    </row>
    <row r="16" spans="2:36" ht="6" customHeight="1" thickBot="1" x14ac:dyDescent="0.25">
      <c r="N16"/>
      <c r="O16" s="25"/>
      <c r="P16" s="26"/>
      <c r="Q16" s="26"/>
      <c r="R16" s="26"/>
      <c r="S16" s="27"/>
      <c r="T16" s="2"/>
      <c r="U16" s="2"/>
      <c r="V16" s="2"/>
      <c r="W16" s="2"/>
      <c r="X16" s="2"/>
      <c r="Y16" s="20"/>
      <c r="Z16" s="2"/>
    </row>
    <row r="17" spans="2:36" ht="9" customHeight="1" thickBot="1" x14ac:dyDescent="0.25">
      <c r="O17" s="8"/>
      <c r="P17" s="2"/>
      <c r="Q17" s="2"/>
      <c r="R17" s="2"/>
      <c r="S17" s="2"/>
      <c r="T17" s="2"/>
      <c r="U17" s="2"/>
      <c r="V17" s="2"/>
      <c r="W17" s="2"/>
      <c r="X17" s="2"/>
      <c r="Y17" s="20"/>
      <c r="Z17" s="2"/>
    </row>
    <row r="18" spans="2:36" ht="20" customHeight="1" thickBot="1" x14ac:dyDescent="0.25">
      <c r="B18" s="399">
        <v>550000</v>
      </c>
      <c r="C18" s="400" t="s">
        <v>2</v>
      </c>
      <c r="D18" s="401"/>
      <c r="O18" s="9"/>
      <c r="P18" s="271" t="s">
        <v>16</v>
      </c>
      <c r="Q18" s="271"/>
      <c r="R18" s="271"/>
      <c r="S18" s="28"/>
      <c r="T18" s="2"/>
      <c r="U18" s="29" t="s">
        <v>17</v>
      </c>
      <c r="W18" s="14" t="s">
        <v>7</v>
      </c>
      <c r="X18" s="2"/>
      <c r="Z18" s="2"/>
      <c r="AB18" s="224"/>
    </row>
    <row r="19" spans="2:36" x14ac:dyDescent="0.2">
      <c r="O19" s="4"/>
      <c r="S19" s="5"/>
      <c r="T19" s="2"/>
      <c r="X19" s="2"/>
      <c r="Y19" s="20"/>
      <c r="Z19" s="2"/>
    </row>
    <row r="20" spans="2:36" s="37" customFormat="1" ht="11" x14ac:dyDescent="0.15">
      <c r="C20" s="392"/>
      <c r="N20" s="32"/>
      <c r="O20" s="33"/>
      <c r="S20" s="34"/>
      <c r="T20" s="35"/>
      <c r="U20" s="35"/>
      <c r="V20" s="35"/>
      <c r="W20" s="35"/>
      <c r="X20" s="35"/>
      <c r="Y20" s="36"/>
      <c r="Z20" s="35"/>
      <c r="AA20" s="35"/>
      <c r="AB20" s="35"/>
      <c r="AC20" s="35"/>
      <c r="AD20" s="35"/>
      <c r="AE20" s="35"/>
      <c r="AF20" s="35"/>
      <c r="AG20" s="35"/>
      <c r="AH20" s="35"/>
      <c r="AI20" s="35"/>
      <c r="AJ20" s="35"/>
    </row>
    <row r="21" spans="2:36" s="37" customFormat="1" ht="12" thickBot="1" x14ac:dyDescent="0.2">
      <c r="C21" s="392"/>
      <c r="N21" s="32"/>
      <c r="O21" s="33"/>
      <c r="S21" s="34"/>
      <c r="T21" s="35"/>
      <c r="U21" s="35"/>
      <c r="V21" s="35"/>
      <c r="W21" s="35"/>
      <c r="X21" s="35"/>
      <c r="Y21" s="36"/>
      <c r="Z21" s="35"/>
      <c r="AA21" s="35"/>
      <c r="AB21" s="35"/>
      <c r="AC21" s="35"/>
      <c r="AD21" s="35"/>
      <c r="AE21" s="35"/>
      <c r="AF21" s="35"/>
      <c r="AG21" s="35"/>
      <c r="AH21" s="35"/>
      <c r="AI21" s="35"/>
      <c r="AJ21" s="35"/>
    </row>
    <row r="22" spans="2:36" s="37" customFormat="1" ht="19" thickBot="1" x14ac:dyDescent="0.25">
      <c r="B22" s="427" t="s">
        <v>40</v>
      </c>
      <c r="C22" s="428"/>
      <c r="D22" s="429"/>
      <c r="E22" s="429"/>
      <c r="F22" s="429"/>
      <c r="G22" s="429"/>
      <c r="H22" s="429"/>
      <c r="I22" s="429"/>
      <c r="J22" s="429"/>
      <c r="K22" s="429"/>
      <c r="L22" s="430"/>
      <c r="N22" s="32"/>
      <c r="O22" s="33"/>
      <c r="S22" s="34"/>
      <c r="T22" s="35"/>
      <c r="U22" s="35"/>
      <c r="V22" s="35"/>
      <c r="W22" s="35"/>
      <c r="X22" s="35"/>
      <c r="Y22" s="36"/>
      <c r="Z22" s="35"/>
      <c r="AA22" s="35"/>
      <c r="AB22" s="35"/>
      <c r="AC22" s="35"/>
      <c r="AD22" s="35"/>
      <c r="AE22" s="35"/>
      <c r="AF22" s="35"/>
      <c r="AG22" s="35"/>
      <c r="AH22" s="35"/>
      <c r="AI22" s="35"/>
      <c r="AJ22" s="35"/>
    </row>
    <row r="23" spans="2:36" s="37" customFormat="1" ht="17" thickBot="1" x14ac:dyDescent="0.25">
      <c r="B23" s="431"/>
      <c r="C23" s="432"/>
      <c r="D23" s="409">
        <v>10</v>
      </c>
      <c r="E23" s="414" t="s">
        <v>42</v>
      </c>
      <c r="F23" s="415"/>
      <c r="G23" s="433"/>
      <c r="H23" s="408">
        <v>10</v>
      </c>
      <c r="I23" s="420" t="s">
        <v>43</v>
      </c>
      <c r="J23" s="421"/>
      <c r="K23" s="3"/>
      <c r="L23" s="434"/>
      <c r="N23" s="32"/>
      <c r="O23" s="33"/>
      <c r="S23" s="34"/>
      <c r="T23" s="35"/>
      <c r="U23" s="35"/>
      <c r="V23" s="35"/>
      <c r="W23" s="35"/>
      <c r="X23" s="35"/>
      <c r="Y23" s="36"/>
      <c r="Z23" s="35"/>
      <c r="AA23" s="35"/>
      <c r="AB23" s="35"/>
      <c r="AC23" s="35"/>
      <c r="AD23" s="35"/>
      <c r="AE23" s="35"/>
      <c r="AF23" s="35"/>
      <c r="AG23" s="35"/>
      <c r="AH23" s="35"/>
      <c r="AI23" s="35"/>
      <c r="AJ23" s="35"/>
    </row>
    <row r="24" spans="2:36" s="37" customFormat="1" x14ac:dyDescent="0.2">
      <c r="B24" s="431"/>
      <c r="C24" s="433"/>
      <c r="D24" s="435"/>
      <c r="E24" s="416">
        <v>0</v>
      </c>
      <c r="F24" s="417" t="s">
        <v>44</v>
      </c>
      <c r="G24" s="433"/>
      <c r="H24" s="436"/>
      <c r="I24" s="410">
        <v>0</v>
      </c>
      <c r="J24" s="411" t="s">
        <v>45</v>
      </c>
      <c r="K24" s="3"/>
      <c r="L24" s="434"/>
      <c r="N24" s="32"/>
      <c r="O24" s="33"/>
      <c r="S24" s="34"/>
      <c r="T24" s="35"/>
      <c r="U24" s="35"/>
      <c r="V24" s="35"/>
      <c r="W24" s="35"/>
      <c r="X24" s="35"/>
      <c r="Y24" s="36"/>
      <c r="Z24" s="35"/>
      <c r="AA24" s="35"/>
      <c r="AB24" s="35"/>
      <c r="AC24" s="35"/>
      <c r="AD24" s="35"/>
      <c r="AE24" s="35"/>
      <c r="AF24" s="35"/>
      <c r="AG24" s="35"/>
      <c r="AH24" s="35"/>
      <c r="AI24" s="35"/>
      <c r="AJ24" s="35"/>
    </row>
    <row r="25" spans="2:36" s="37" customFormat="1" x14ac:dyDescent="0.2">
      <c r="B25" s="431"/>
      <c r="C25" s="433"/>
      <c r="D25" s="437"/>
      <c r="E25" s="416">
        <v>5</v>
      </c>
      <c r="F25" s="417" t="s">
        <v>46</v>
      </c>
      <c r="G25" s="433"/>
      <c r="H25" s="436"/>
      <c r="I25" s="410">
        <v>5</v>
      </c>
      <c r="J25" s="411" t="s">
        <v>47</v>
      </c>
      <c r="K25" s="3"/>
      <c r="L25" s="434"/>
      <c r="N25" s="32"/>
      <c r="O25" s="33"/>
      <c r="S25" s="34"/>
      <c r="T25" s="35"/>
      <c r="U25" s="35"/>
      <c r="V25" s="35"/>
      <c r="W25" s="35"/>
      <c r="X25" s="35"/>
      <c r="Y25" s="36"/>
      <c r="Z25" s="35"/>
      <c r="AA25" s="35"/>
      <c r="AB25" s="35"/>
      <c r="AC25" s="35"/>
      <c r="AD25" s="35"/>
      <c r="AE25" s="35"/>
      <c r="AF25" s="35"/>
      <c r="AG25" s="35"/>
      <c r="AH25" s="35"/>
      <c r="AI25" s="35"/>
      <c r="AJ25" s="35"/>
    </row>
    <row r="26" spans="2:36" s="37" customFormat="1" x14ac:dyDescent="0.2">
      <c r="B26" s="431"/>
      <c r="C26" s="433"/>
      <c r="D26" s="437"/>
      <c r="E26" s="416">
        <v>10</v>
      </c>
      <c r="F26" s="417" t="s">
        <v>48</v>
      </c>
      <c r="G26" s="433"/>
      <c r="H26" s="436"/>
      <c r="I26" s="410">
        <v>10</v>
      </c>
      <c r="J26" s="411" t="s">
        <v>48</v>
      </c>
      <c r="K26" s="3"/>
      <c r="L26" s="434"/>
      <c r="N26" s="32"/>
      <c r="O26" s="33"/>
      <c r="S26" s="34"/>
      <c r="T26" s="35"/>
      <c r="U26" s="35"/>
      <c r="V26" s="35"/>
      <c r="W26" s="35"/>
      <c r="X26" s="35"/>
      <c r="Y26" s="36"/>
      <c r="Z26" s="35"/>
      <c r="AA26" s="35"/>
      <c r="AB26" s="35"/>
      <c r="AC26" s="35"/>
      <c r="AD26" s="35"/>
      <c r="AE26" s="35"/>
      <c r="AF26" s="35"/>
      <c r="AG26" s="35"/>
      <c r="AH26" s="35"/>
      <c r="AI26" s="35"/>
      <c r="AJ26" s="35"/>
    </row>
    <row r="27" spans="2:36" s="37" customFormat="1" x14ac:dyDescent="0.2">
      <c r="B27" s="431"/>
      <c r="C27" s="433"/>
      <c r="D27" s="437"/>
      <c r="E27" s="416">
        <v>15</v>
      </c>
      <c r="F27" s="417" t="s">
        <v>49</v>
      </c>
      <c r="G27" s="433"/>
      <c r="H27" s="436"/>
      <c r="I27" s="410">
        <v>15</v>
      </c>
      <c r="J27" s="411" t="s">
        <v>50</v>
      </c>
      <c r="K27" s="3"/>
      <c r="L27" s="434"/>
      <c r="N27" s="32"/>
      <c r="O27" s="33"/>
      <c r="S27" s="34"/>
      <c r="T27" s="35"/>
      <c r="U27" s="35"/>
      <c r="V27" s="35"/>
      <c r="W27" s="35"/>
      <c r="X27" s="35"/>
      <c r="Y27" s="36"/>
      <c r="Z27" s="35"/>
      <c r="AA27" s="35"/>
      <c r="AB27" s="35"/>
      <c r="AC27" s="35"/>
      <c r="AD27" s="35"/>
      <c r="AE27" s="35"/>
      <c r="AF27" s="35"/>
      <c r="AG27" s="35"/>
      <c r="AH27" s="35"/>
      <c r="AI27" s="35"/>
      <c r="AJ27" s="35"/>
    </row>
    <row r="28" spans="2:36" s="37" customFormat="1" ht="17" thickBot="1" x14ac:dyDescent="0.25">
      <c r="B28" s="431"/>
      <c r="C28" s="433"/>
      <c r="D28" s="437"/>
      <c r="E28" s="418">
        <v>20</v>
      </c>
      <c r="F28" s="419" t="s">
        <v>51</v>
      </c>
      <c r="G28" s="3"/>
      <c r="H28" s="436"/>
      <c r="I28" s="412">
        <v>20</v>
      </c>
      <c r="J28" s="413" t="s">
        <v>52</v>
      </c>
      <c r="K28" s="3"/>
      <c r="L28" s="434"/>
      <c r="N28" s="32"/>
      <c r="O28" s="33"/>
      <c r="S28" s="34"/>
      <c r="T28" s="35"/>
      <c r="U28" s="35"/>
      <c r="V28" s="35"/>
      <c r="W28" s="35"/>
      <c r="X28" s="35"/>
      <c r="Y28" s="36"/>
      <c r="Z28" s="35"/>
      <c r="AA28" s="35"/>
      <c r="AB28" s="35"/>
      <c r="AC28" s="35"/>
      <c r="AD28" s="35"/>
      <c r="AE28" s="35"/>
      <c r="AF28" s="35"/>
      <c r="AG28" s="35"/>
      <c r="AH28" s="35"/>
      <c r="AI28" s="35"/>
      <c r="AJ28" s="35"/>
    </row>
    <row r="29" spans="2:36" ht="17" thickBot="1" x14ac:dyDescent="0.25">
      <c r="B29" s="8"/>
      <c r="C29" s="436"/>
      <c r="D29" s="3"/>
      <c r="E29" s="3"/>
      <c r="F29" s="3"/>
      <c r="G29" s="3"/>
      <c r="H29" s="3"/>
      <c r="I29" s="3"/>
      <c r="J29" s="3"/>
      <c r="K29" s="3"/>
      <c r="L29" s="438"/>
      <c r="O29" s="25"/>
      <c r="P29" s="38"/>
      <c r="Q29" s="38"/>
      <c r="R29" s="38"/>
      <c r="S29" s="27"/>
      <c r="T29" s="2"/>
      <c r="U29" s="2"/>
      <c r="V29" s="2"/>
      <c r="W29" s="2"/>
      <c r="X29" s="2"/>
      <c r="Y29" s="20"/>
      <c r="Z29" s="2"/>
    </row>
    <row r="30" spans="2:36" ht="21" x14ac:dyDescent="0.25">
      <c r="B30" s="439">
        <f>$B$18*(1-F30/100)</f>
        <v>187583.87796929077</v>
      </c>
      <c r="C30" s="423" t="s">
        <v>145</v>
      </c>
      <c r="D30" s="424"/>
      <c r="E30" s="3"/>
      <c r="F30" s="422">
        <f>HCaires!D8*100</f>
        <v>65.893840369219859</v>
      </c>
      <c r="G30" s="425" t="s">
        <v>144</v>
      </c>
      <c r="H30" s="426"/>
      <c r="I30" s="3"/>
      <c r="J30" s="3"/>
      <c r="K30" s="3"/>
      <c r="L30" s="438"/>
      <c r="O30" s="4"/>
      <c r="P30" s="2"/>
      <c r="Q30" s="2"/>
      <c r="R30" s="2"/>
      <c r="S30" s="2"/>
      <c r="T30" s="2"/>
      <c r="U30" s="2"/>
      <c r="V30" s="2"/>
      <c r="W30" s="2"/>
      <c r="X30" s="2"/>
      <c r="Y30" s="20"/>
      <c r="Z30" s="2"/>
    </row>
    <row r="31" spans="2:36" ht="19" thickBot="1" x14ac:dyDescent="0.25">
      <c r="B31" s="31"/>
      <c r="C31" s="391"/>
      <c r="D31" s="38"/>
      <c r="E31" s="38"/>
      <c r="F31" s="38"/>
      <c r="G31" s="38"/>
      <c r="H31" s="38"/>
      <c r="I31" s="38"/>
      <c r="J31" s="38"/>
      <c r="K31" s="38"/>
      <c r="L31" s="387"/>
      <c r="O31" s="4"/>
      <c r="Q31" s="39"/>
      <c r="R31" s="39"/>
      <c r="S31" s="2"/>
      <c r="T31" s="2"/>
      <c r="U31" s="2"/>
      <c r="V31" s="2"/>
      <c r="W31" s="2"/>
      <c r="X31" s="2"/>
      <c r="Y31" s="20"/>
      <c r="Z31" s="2"/>
    </row>
    <row r="32" spans="2:36" ht="17" thickBot="1" x14ac:dyDescent="0.25">
      <c r="O32" s="4"/>
      <c r="P32" s="2"/>
      <c r="Q32" s="2"/>
      <c r="R32" s="2"/>
      <c r="S32" s="2"/>
      <c r="T32" s="2"/>
      <c r="U32" s="2"/>
      <c r="V32" s="2"/>
      <c r="W32" s="2"/>
      <c r="X32" s="2"/>
      <c r="Y32" s="20"/>
      <c r="Z32" s="2"/>
    </row>
    <row r="33" spans="2:36" ht="18" x14ac:dyDescent="0.2">
      <c r="B33" s="440" t="s">
        <v>9</v>
      </c>
      <c r="C33" s="390"/>
      <c r="D33" s="386"/>
      <c r="E33" s="386"/>
      <c r="F33" s="386"/>
      <c r="G33" s="386"/>
      <c r="H33" s="386"/>
      <c r="I33" s="386"/>
      <c r="J33" s="386"/>
      <c r="K33" s="386"/>
      <c r="L33" s="28"/>
      <c r="N33"/>
      <c r="O33" s="4"/>
      <c r="P33" s="2"/>
      <c r="Z33" s="2"/>
    </row>
    <row r="34" spans="2:36" x14ac:dyDescent="0.2">
      <c r="B34" s="8"/>
      <c r="C34" s="436"/>
      <c r="D34" s="3"/>
      <c r="E34" s="3"/>
      <c r="F34" s="3"/>
      <c r="G34" s="3"/>
      <c r="H34" s="3"/>
      <c r="I34" s="3"/>
      <c r="J34" s="3"/>
      <c r="K34" s="3"/>
      <c r="L34" s="438"/>
      <c r="N34"/>
      <c r="O34" s="4"/>
      <c r="P34" s="2"/>
      <c r="Q34" s="2"/>
      <c r="R34" s="45"/>
      <c r="S34" s="2"/>
      <c r="T34" s="2"/>
      <c r="U34" s="46"/>
      <c r="V34" s="47"/>
      <c r="W34" s="2"/>
      <c r="X34" s="2"/>
      <c r="Y34" s="48"/>
      <c r="Z34" s="2"/>
    </row>
    <row r="35" spans="2:36" ht="21" x14ac:dyDescent="0.25">
      <c r="B35" s="439">
        <f>$B$18*(1-F35/100)</f>
        <v>312400.00000000006</v>
      </c>
      <c r="C35" s="423" t="s">
        <v>145</v>
      </c>
      <c r="D35" s="424"/>
      <c r="E35" s="3"/>
      <c r="F35" s="422">
        <f>Ross!C16</f>
        <v>43.199999999999996</v>
      </c>
      <c r="G35" s="425" t="s">
        <v>144</v>
      </c>
      <c r="H35" s="426"/>
      <c r="I35" s="3"/>
      <c r="J35" s="3"/>
      <c r="K35" s="3"/>
      <c r="L35" s="438"/>
      <c r="N35"/>
      <c r="O35" s="4"/>
      <c r="P35" s="272" t="s">
        <v>40</v>
      </c>
      <c r="Q35" s="272"/>
      <c r="R35" s="45"/>
      <c r="S35" s="2"/>
      <c r="T35" s="2"/>
      <c r="X35" s="2"/>
      <c r="Z35" s="2"/>
    </row>
    <row r="36" spans="2:36" ht="17" thickBot="1" x14ac:dyDescent="0.25">
      <c r="B36" s="31"/>
      <c r="C36" s="391"/>
      <c r="D36" s="38"/>
      <c r="E36" s="38"/>
      <c r="F36" s="38"/>
      <c r="G36" s="38"/>
      <c r="H36" s="38"/>
      <c r="I36" s="38"/>
      <c r="J36" s="38"/>
      <c r="K36" s="38"/>
      <c r="L36" s="387"/>
      <c r="N36"/>
      <c r="O36" s="4"/>
      <c r="P36" s="2"/>
      <c r="Q36" s="2"/>
      <c r="R36" s="45"/>
      <c r="S36" s="2"/>
      <c r="T36" s="2"/>
      <c r="U36" s="46"/>
      <c r="V36" s="47"/>
      <c r="W36" s="2"/>
      <c r="X36" s="2"/>
      <c r="Y36" s="48"/>
      <c r="Z36" s="2"/>
    </row>
    <row r="37" spans="2:36" s="1" customFormat="1" ht="17" thickBot="1" x14ac:dyDescent="0.25">
      <c r="C37" s="209"/>
      <c r="F37"/>
      <c r="G37"/>
      <c r="O37" s="4"/>
      <c r="R37" s="49" t="s">
        <v>41</v>
      </c>
      <c r="X37" s="2"/>
      <c r="Y37" s="48"/>
      <c r="Z37" s="2"/>
      <c r="AA37" s="2"/>
      <c r="AB37" s="2"/>
      <c r="AC37" s="2"/>
      <c r="AD37" s="2"/>
      <c r="AE37" s="2"/>
      <c r="AF37" s="2"/>
      <c r="AG37" s="2"/>
      <c r="AH37" s="2"/>
      <c r="AI37" s="2"/>
      <c r="AJ37" s="2"/>
    </row>
    <row r="38" spans="2:36" s="1" customFormat="1" ht="18" x14ac:dyDescent="0.2">
      <c r="B38" s="440" t="s">
        <v>8</v>
      </c>
      <c r="C38" s="441"/>
      <c r="D38" s="10"/>
      <c r="E38" s="10"/>
      <c r="F38" s="10"/>
      <c r="G38" s="10"/>
      <c r="H38" s="10"/>
      <c r="I38" s="10"/>
      <c r="J38" s="10"/>
      <c r="K38" s="10"/>
      <c r="L38" s="11"/>
      <c r="O38" s="4"/>
      <c r="R38" s="45"/>
      <c r="S38" s="2"/>
      <c r="X38" s="2"/>
      <c r="Y38" s="48"/>
      <c r="Z38" s="2"/>
      <c r="AA38" s="2"/>
      <c r="AB38" s="2"/>
      <c r="AC38" s="2"/>
      <c r="AD38" s="2"/>
      <c r="AE38" s="2"/>
      <c r="AF38" s="2"/>
      <c r="AG38" s="2"/>
      <c r="AH38" s="2"/>
      <c r="AI38" s="2"/>
      <c r="AJ38" s="2"/>
    </row>
    <row r="39" spans="2:36" s="1" customFormat="1" x14ac:dyDescent="0.2">
      <c r="B39" s="4"/>
      <c r="C39" s="222"/>
      <c r="D39" s="2"/>
      <c r="E39" s="2"/>
      <c r="F39" s="2"/>
      <c r="G39" s="2"/>
      <c r="H39" s="2"/>
      <c r="I39" s="2"/>
      <c r="J39" s="2"/>
      <c r="K39" s="2"/>
      <c r="L39" s="5"/>
      <c r="O39" s="4"/>
      <c r="R39" s="45"/>
      <c r="S39" s="2"/>
      <c r="X39" s="2"/>
      <c r="Y39" s="48"/>
      <c r="Z39" s="2"/>
      <c r="AA39" s="2"/>
      <c r="AB39" s="2"/>
      <c r="AC39" s="2"/>
      <c r="AD39" s="2"/>
      <c r="AE39" s="2"/>
      <c r="AF39" s="2"/>
      <c r="AG39" s="2"/>
      <c r="AH39" s="2"/>
      <c r="AI39" s="2"/>
      <c r="AJ39" s="2"/>
    </row>
    <row r="40" spans="2:36" s="1" customFormat="1" ht="21" x14ac:dyDescent="0.25">
      <c r="B40" s="439">
        <f>$B$18*(1-F40/100)</f>
        <v>371799.99999999994</v>
      </c>
      <c r="C40" s="423" t="s">
        <v>145</v>
      </c>
      <c r="D40" s="424"/>
      <c r="E40" s="2"/>
      <c r="F40" s="422">
        <f>Kuentzle!C16</f>
        <v>32.4</v>
      </c>
      <c r="G40" s="425" t="s">
        <v>144</v>
      </c>
      <c r="H40" s="426"/>
      <c r="I40" s="2"/>
      <c r="J40" s="2"/>
      <c r="K40" s="2"/>
      <c r="L40" s="5"/>
      <c r="O40" s="4"/>
      <c r="R40" s="45"/>
      <c r="S40" s="2"/>
      <c r="X40" s="2"/>
      <c r="Y40" s="48"/>
      <c r="Z40" s="2"/>
      <c r="AA40" s="2"/>
      <c r="AB40" s="2"/>
      <c r="AC40" s="2"/>
      <c r="AD40" s="2"/>
      <c r="AE40" s="2"/>
      <c r="AF40" s="2"/>
      <c r="AG40" s="2"/>
      <c r="AH40" s="2"/>
      <c r="AI40" s="2"/>
      <c r="AJ40" s="2"/>
    </row>
    <row r="41" spans="2:36" s="1" customFormat="1" ht="17" thickBot="1" x14ac:dyDescent="0.25">
      <c r="B41" s="25"/>
      <c r="C41" s="442"/>
      <c r="D41" s="26"/>
      <c r="E41" s="26"/>
      <c r="F41" s="26"/>
      <c r="G41" s="26"/>
      <c r="H41" s="26"/>
      <c r="I41" s="26"/>
      <c r="J41" s="26"/>
      <c r="K41" s="26"/>
      <c r="L41" s="27"/>
      <c r="O41" s="4"/>
      <c r="R41" s="45"/>
      <c r="S41" s="2"/>
      <c r="X41" s="2"/>
      <c r="Y41" s="48"/>
      <c r="Z41" s="2"/>
      <c r="AA41" s="2"/>
      <c r="AB41" s="2"/>
      <c r="AC41" s="2"/>
      <c r="AD41" s="2"/>
      <c r="AE41" s="2"/>
      <c r="AF41" s="2"/>
      <c r="AG41" s="2"/>
      <c r="AH41" s="2"/>
      <c r="AI41" s="2"/>
      <c r="AJ41" s="2"/>
    </row>
    <row r="42" spans="2:36" s="1" customFormat="1" ht="17" thickBot="1" x14ac:dyDescent="0.25">
      <c r="C42" s="209"/>
      <c r="O42" s="4"/>
      <c r="R42" s="45"/>
      <c r="S42" s="2"/>
      <c r="X42" s="2"/>
      <c r="Y42" s="48"/>
      <c r="Z42" s="2"/>
      <c r="AA42" s="2"/>
      <c r="AB42" s="2"/>
      <c r="AC42" s="2"/>
      <c r="AD42" s="2"/>
      <c r="AE42" s="2"/>
      <c r="AF42" s="2"/>
      <c r="AG42" s="2"/>
      <c r="AH42" s="2"/>
      <c r="AI42" s="2"/>
      <c r="AJ42" s="2"/>
    </row>
    <row r="43" spans="2:36" s="1" customFormat="1" ht="18" x14ac:dyDescent="0.2">
      <c r="B43" s="440" t="s">
        <v>5</v>
      </c>
      <c r="C43" s="441"/>
      <c r="D43" s="10"/>
      <c r="E43" s="10"/>
      <c r="F43" s="10"/>
      <c r="G43" s="10"/>
      <c r="H43" s="10"/>
      <c r="I43" s="10"/>
      <c r="J43" s="10"/>
      <c r="K43" s="10"/>
      <c r="L43" s="11"/>
      <c r="O43" s="4"/>
      <c r="R43" s="45"/>
      <c r="S43" s="2"/>
      <c r="X43" s="2"/>
      <c r="Y43" s="48"/>
      <c r="Z43" s="2"/>
      <c r="AA43" s="2"/>
      <c r="AB43" s="2"/>
      <c r="AC43" s="2"/>
      <c r="AD43" s="2"/>
      <c r="AE43" s="2"/>
      <c r="AF43" s="2"/>
      <c r="AG43" s="2"/>
      <c r="AH43" s="2"/>
      <c r="AI43" s="2"/>
      <c r="AJ43" s="2"/>
    </row>
    <row r="44" spans="2:36" ht="4.5" customHeight="1" thickBot="1" x14ac:dyDescent="0.25">
      <c r="B44" s="8"/>
      <c r="C44" s="436"/>
      <c r="D44" s="3"/>
      <c r="E44" s="3"/>
      <c r="F44" s="3"/>
      <c r="G44" s="3"/>
      <c r="H44" s="3"/>
      <c r="I44" s="3"/>
      <c r="J44" s="3"/>
      <c r="K44" s="3"/>
      <c r="L44" s="438"/>
      <c r="N44"/>
      <c r="O44" s="25"/>
      <c r="P44" s="26"/>
      <c r="Q44" s="26"/>
      <c r="R44" s="26"/>
      <c r="S44" s="26"/>
      <c r="T44" s="26"/>
      <c r="U44" s="26" t="str">
        <f>IF(D66&gt;100,"% de vida útil &gt; que idade aparente","")</f>
        <v/>
      </c>
      <c r="V44" s="26"/>
      <c r="W44" s="26"/>
      <c r="X44" s="26"/>
      <c r="Y44" s="52"/>
      <c r="Z44" s="2"/>
    </row>
    <row r="45" spans="2:36" s="1" customFormat="1" ht="6" customHeight="1" x14ac:dyDescent="0.2">
      <c r="B45" s="4"/>
      <c r="C45" s="222"/>
      <c r="D45" s="2"/>
      <c r="E45" s="2"/>
      <c r="F45" s="2"/>
      <c r="G45" s="2"/>
      <c r="H45" s="2"/>
      <c r="I45" s="2"/>
      <c r="J45" s="2"/>
      <c r="K45" s="2"/>
      <c r="L45" s="5"/>
      <c r="O45" s="9"/>
      <c r="P45" s="10"/>
      <c r="Q45" s="10"/>
      <c r="R45" s="10"/>
      <c r="S45" s="10"/>
      <c r="T45" s="10"/>
      <c r="U45" s="10"/>
      <c r="V45" s="10"/>
      <c r="W45" s="10"/>
      <c r="X45" s="10"/>
      <c r="Y45" s="11"/>
      <c r="AA45" s="2"/>
      <c r="AB45" s="2"/>
      <c r="AC45" s="2"/>
      <c r="AD45" s="2"/>
      <c r="AE45" s="2"/>
      <c r="AF45" s="2"/>
      <c r="AG45" s="2"/>
      <c r="AH45" s="2"/>
      <c r="AI45" s="2"/>
      <c r="AJ45" s="2"/>
    </row>
    <row r="46" spans="2:36" s="1" customFormat="1" ht="21" x14ac:dyDescent="0.25">
      <c r="B46" s="439">
        <f>$B$18*(1-F46/100)</f>
        <v>252999.99999999997</v>
      </c>
      <c r="C46" s="423" t="s">
        <v>145</v>
      </c>
      <c r="D46" s="424"/>
      <c r="E46" s="2"/>
      <c r="F46" s="422">
        <f>LinhaReta!C16</f>
        <v>54</v>
      </c>
      <c r="G46" s="425" t="s">
        <v>144</v>
      </c>
      <c r="H46" s="426"/>
      <c r="I46" s="2"/>
      <c r="J46" s="2"/>
      <c r="K46" s="2"/>
      <c r="L46" s="5"/>
      <c r="O46" s="53"/>
      <c r="AA46" s="2"/>
      <c r="AB46" s="2"/>
      <c r="AC46" s="2"/>
      <c r="AD46" s="2"/>
      <c r="AE46" s="2"/>
      <c r="AF46" s="2"/>
      <c r="AG46" s="2"/>
      <c r="AH46" s="2"/>
      <c r="AI46" s="2"/>
      <c r="AJ46" s="2"/>
    </row>
    <row r="47" spans="2:36" s="1" customFormat="1" ht="17" thickBot="1" x14ac:dyDescent="0.25">
      <c r="B47" s="25"/>
      <c r="C47" s="442"/>
      <c r="D47" s="26"/>
      <c r="E47" s="26"/>
      <c r="F47" s="26"/>
      <c r="G47" s="26"/>
      <c r="H47" s="26"/>
      <c r="I47" s="26"/>
      <c r="J47" s="26"/>
      <c r="K47" s="26"/>
      <c r="L47" s="27"/>
      <c r="O47" s="4"/>
      <c r="P47" s="2"/>
      <c r="Q47" s="2"/>
      <c r="R47" s="2"/>
      <c r="S47" s="2"/>
      <c r="T47" s="2"/>
      <c r="U47" s="2"/>
      <c r="V47" s="2"/>
      <c r="W47" s="2"/>
      <c r="X47" s="2"/>
      <c r="Y47" s="5"/>
      <c r="AA47" s="2"/>
      <c r="AB47" s="2"/>
      <c r="AC47" s="2"/>
      <c r="AD47" s="2"/>
      <c r="AE47" s="2"/>
      <c r="AF47" s="2"/>
      <c r="AG47" s="2"/>
      <c r="AH47" s="2"/>
      <c r="AI47" s="2"/>
      <c r="AJ47" s="2"/>
    </row>
    <row r="48" spans="2:36" s="1" customFormat="1" ht="17" thickBot="1" x14ac:dyDescent="0.25">
      <c r="C48" s="209"/>
      <c r="O48" s="4"/>
      <c r="W48" s="275"/>
      <c r="X48" s="276"/>
      <c r="Y48" s="277"/>
      <c r="AA48" s="2"/>
      <c r="AB48" s="2"/>
      <c r="AC48" s="2"/>
      <c r="AD48" s="2"/>
      <c r="AE48" s="2"/>
      <c r="AF48" s="2"/>
      <c r="AG48" s="2"/>
      <c r="AH48" s="2"/>
      <c r="AI48" s="2"/>
      <c r="AJ48" s="2"/>
    </row>
    <row r="49" spans="2:36" s="1" customFormat="1" ht="19" thickBot="1" x14ac:dyDescent="0.25">
      <c r="B49" s="440" t="s">
        <v>16</v>
      </c>
      <c r="C49" s="441"/>
      <c r="D49" s="10"/>
      <c r="E49" s="10"/>
      <c r="F49" s="10"/>
      <c r="G49" s="10"/>
      <c r="H49" s="10"/>
      <c r="I49" s="10"/>
      <c r="J49" s="10"/>
      <c r="K49" s="10"/>
      <c r="L49" s="11"/>
      <c r="O49" s="4"/>
      <c r="W49" s="2"/>
      <c r="X49" s="2"/>
      <c r="Y49" s="5"/>
      <c r="AA49" s="2"/>
      <c r="AB49" s="2"/>
      <c r="AC49" s="2"/>
      <c r="AD49" s="2"/>
      <c r="AE49" s="2"/>
      <c r="AF49" s="2"/>
      <c r="AG49" s="2"/>
      <c r="AH49" s="2"/>
      <c r="AI49" s="2"/>
      <c r="AJ49" s="2"/>
    </row>
    <row r="50" spans="2:36" s="1" customFormat="1" ht="19" thickBot="1" x14ac:dyDescent="0.25">
      <c r="B50" s="4"/>
      <c r="C50" s="222"/>
      <c r="D50" s="443" t="s">
        <v>30</v>
      </c>
      <c r="E50" s="450" t="s">
        <v>18</v>
      </c>
      <c r="F50" s="451"/>
      <c r="G50" s="451"/>
      <c r="H50" s="451"/>
      <c r="I50" s="452"/>
      <c r="J50" s="2"/>
      <c r="K50" s="2"/>
      <c r="L50" s="5"/>
      <c r="O50" s="4"/>
      <c r="W50" s="2"/>
      <c r="X50" s="2"/>
      <c r="Y50" s="5"/>
      <c r="AA50" s="2"/>
      <c r="AB50" s="2"/>
      <c r="AC50" s="2"/>
      <c r="AD50" s="2"/>
      <c r="AE50" s="2"/>
      <c r="AF50" s="2"/>
      <c r="AG50" s="2"/>
      <c r="AH50" s="2"/>
      <c r="AI50" s="2"/>
      <c r="AJ50" s="2"/>
    </row>
    <row r="51" spans="2:36" s="1" customFormat="1" x14ac:dyDescent="0.2">
      <c r="B51" s="4"/>
      <c r="C51" s="222"/>
      <c r="D51" s="2"/>
      <c r="E51" s="444" t="s">
        <v>21</v>
      </c>
      <c r="F51" s="446" t="s">
        <v>22</v>
      </c>
      <c r="G51" s="446"/>
      <c r="H51" s="446"/>
      <c r="I51" s="447"/>
      <c r="J51" s="2"/>
      <c r="K51" s="2"/>
      <c r="L51" s="5"/>
      <c r="O51" s="4"/>
      <c r="W51" s="2"/>
      <c r="X51" s="2"/>
      <c r="Y51" s="5"/>
      <c r="AA51" s="2"/>
      <c r="AB51" s="2"/>
      <c r="AC51" s="2"/>
      <c r="AD51" s="2"/>
      <c r="AE51" s="2"/>
      <c r="AF51" s="2"/>
      <c r="AG51" s="2"/>
      <c r="AH51" s="2"/>
      <c r="AI51" s="2"/>
      <c r="AJ51" s="2"/>
    </row>
    <row r="52" spans="2:36" s="1" customFormat="1" ht="17" thickBot="1" x14ac:dyDescent="0.25">
      <c r="B52" s="4"/>
      <c r="C52" s="222"/>
      <c r="D52" s="2"/>
      <c r="E52" s="444" t="s">
        <v>20</v>
      </c>
      <c r="F52" s="446" t="s">
        <v>23</v>
      </c>
      <c r="G52" s="446"/>
      <c r="H52" s="446"/>
      <c r="I52" s="447"/>
      <c r="J52" s="2"/>
      <c r="K52" s="2"/>
      <c r="L52" s="5"/>
      <c r="O52" s="4"/>
      <c r="P52" s="2"/>
      <c r="Q52" s="2"/>
      <c r="R52" s="2"/>
      <c r="S52" s="2"/>
      <c r="T52" s="2"/>
      <c r="U52" s="2"/>
      <c r="V52" s="2"/>
      <c r="W52" s="2"/>
      <c r="X52" s="2"/>
      <c r="Y52" s="5"/>
      <c r="AA52" s="2"/>
      <c r="AB52" s="2"/>
      <c r="AC52" s="2"/>
      <c r="AD52" s="2"/>
      <c r="AE52" s="2"/>
      <c r="AF52" s="2"/>
      <c r="AG52" s="2"/>
      <c r="AH52" s="2"/>
      <c r="AI52" s="2"/>
      <c r="AJ52" s="2"/>
    </row>
    <row r="53" spans="2:36" s="1" customFormat="1" ht="17" thickBot="1" x14ac:dyDescent="0.25">
      <c r="B53" s="4"/>
      <c r="C53" s="222"/>
      <c r="D53" s="2"/>
      <c r="E53" s="444" t="s">
        <v>24</v>
      </c>
      <c r="F53" s="446" t="s">
        <v>25</v>
      </c>
      <c r="G53" s="446"/>
      <c r="H53" s="446"/>
      <c r="I53" s="447"/>
      <c r="J53" s="2"/>
      <c r="K53" s="2"/>
      <c r="L53" s="5"/>
      <c r="O53" s="4"/>
      <c r="P53" s="2"/>
      <c r="Q53" s="2"/>
      <c r="R53" s="54">
        <f>(1-(((1-D77)*(D78-D76)/(D75-D76))+D77))*100</f>
        <v>80.905263157894737</v>
      </c>
      <c r="S53" s="2"/>
      <c r="T53" s="2"/>
      <c r="U53" s="55" t="s">
        <v>6</v>
      </c>
      <c r="V53" s="56">
        <f>IF(R53&gt;100,100,R53)</f>
        <v>80.905263157894737</v>
      </c>
      <c r="W53" s="57" t="s">
        <v>7</v>
      </c>
      <c r="X53" s="2"/>
      <c r="Y53" s="58">
        <f>B18*(1-V53/100)</f>
        <v>105021.05263157895</v>
      </c>
      <c r="AB53" s="2"/>
      <c r="AC53" s="2"/>
      <c r="AD53" s="2"/>
      <c r="AE53" s="2"/>
      <c r="AF53" s="2"/>
      <c r="AG53" s="2"/>
      <c r="AH53" s="2"/>
      <c r="AI53" s="2"/>
      <c r="AJ53" s="2"/>
    </row>
    <row r="54" spans="2:36" s="1" customFormat="1" ht="17" thickBot="1" x14ac:dyDescent="0.25">
      <c r="B54" s="4"/>
      <c r="C54" s="222"/>
      <c r="D54" s="2"/>
      <c r="E54" s="444" t="s">
        <v>26</v>
      </c>
      <c r="F54" s="446" t="s">
        <v>27</v>
      </c>
      <c r="G54" s="446"/>
      <c r="H54" s="446"/>
      <c r="I54" s="447"/>
      <c r="J54" s="2"/>
      <c r="K54" s="2"/>
      <c r="L54" s="5"/>
      <c r="O54" s="25"/>
      <c r="P54" s="26"/>
      <c r="Q54" s="26"/>
      <c r="R54" s="26"/>
      <c r="S54" s="26"/>
      <c r="T54" s="26"/>
      <c r="U54" s="26"/>
      <c r="V54" s="26"/>
      <c r="W54" s="26"/>
      <c r="X54" s="26"/>
      <c r="Y54" s="27"/>
      <c r="AA54" s="2"/>
      <c r="AB54" s="2"/>
      <c r="AC54" s="2"/>
      <c r="AD54" s="2"/>
      <c r="AE54" s="2"/>
      <c r="AF54" s="2"/>
      <c r="AG54" s="2"/>
      <c r="AH54" s="2"/>
      <c r="AI54" s="2"/>
      <c r="AJ54" s="2"/>
    </row>
    <row r="55" spans="2:36" s="1" customFormat="1" x14ac:dyDescent="0.2">
      <c r="B55" s="4"/>
      <c r="C55" s="2"/>
      <c r="D55" s="2"/>
      <c r="E55" s="444" t="s">
        <v>28</v>
      </c>
      <c r="F55" s="446" t="s">
        <v>29</v>
      </c>
      <c r="G55" s="446"/>
      <c r="H55" s="446"/>
      <c r="I55" s="447"/>
      <c r="J55" s="2"/>
      <c r="K55" s="2"/>
      <c r="L55" s="5"/>
      <c r="O55" s="9"/>
      <c r="P55" s="10"/>
      <c r="Q55" s="10"/>
      <c r="R55" s="10"/>
      <c r="S55" s="10"/>
      <c r="T55" s="10"/>
      <c r="U55" s="10"/>
      <c r="V55" s="10"/>
      <c r="W55" s="10"/>
      <c r="X55" s="10"/>
      <c r="Y55" s="11"/>
      <c r="AA55" s="2"/>
      <c r="AB55" s="2"/>
      <c r="AC55" s="2"/>
      <c r="AD55" s="2"/>
      <c r="AE55" s="2"/>
      <c r="AF55" s="2"/>
      <c r="AG55" s="2"/>
      <c r="AH55" s="2"/>
      <c r="AI55" s="2"/>
      <c r="AJ55" s="2"/>
    </row>
    <row r="56" spans="2:36" s="1" customFormat="1" ht="18" x14ac:dyDescent="0.2">
      <c r="B56" s="4"/>
      <c r="C56" s="222"/>
      <c r="D56" s="2"/>
      <c r="E56" s="444" t="s">
        <v>30</v>
      </c>
      <c r="F56" s="446" t="s">
        <v>31</v>
      </c>
      <c r="G56" s="446"/>
      <c r="H56" s="446"/>
      <c r="I56" s="447"/>
      <c r="J56" s="2"/>
      <c r="L56" s="5"/>
      <c r="O56" s="4"/>
      <c r="P56" s="272" t="s">
        <v>59</v>
      </c>
      <c r="Q56" s="272"/>
      <c r="R56" s="272"/>
      <c r="S56" s="272"/>
      <c r="T56" s="272"/>
      <c r="U56" s="272"/>
      <c r="V56" s="272"/>
      <c r="W56" s="2"/>
      <c r="X56" s="2"/>
      <c r="Y56" s="5"/>
      <c r="AA56" s="2"/>
      <c r="AB56" s="2"/>
      <c r="AC56" s="2"/>
      <c r="AD56" s="2"/>
      <c r="AE56" s="2"/>
      <c r="AF56" s="2"/>
      <c r="AG56" s="2"/>
      <c r="AH56" s="2"/>
      <c r="AI56" s="2"/>
      <c r="AJ56" s="2"/>
    </row>
    <row r="57" spans="2:36" s="1" customFormat="1" ht="17" thickBot="1" x14ac:dyDescent="0.25">
      <c r="B57" s="4"/>
      <c r="C57" s="222"/>
      <c r="D57" s="2"/>
      <c r="E57" s="444" t="s">
        <v>32</v>
      </c>
      <c r="F57" s="446" t="s">
        <v>33</v>
      </c>
      <c r="G57" s="446"/>
      <c r="H57" s="446"/>
      <c r="I57" s="447"/>
      <c r="J57" s="2"/>
      <c r="K57" s="2"/>
      <c r="L57" s="5"/>
      <c r="O57" s="4"/>
      <c r="P57" s="2"/>
      <c r="Q57" s="2"/>
      <c r="R57" s="2"/>
      <c r="S57" s="2"/>
      <c r="T57" s="2"/>
      <c r="U57" s="2"/>
      <c r="V57" s="2"/>
      <c r="W57" s="2"/>
      <c r="X57" s="2"/>
      <c r="Y57" s="5"/>
      <c r="AA57" s="2"/>
      <c r="AB57" s="2"/>
      <c r="AC57" s="2"/>
      <c r="AD57" s="2"/>
      <c r="AE57" s="2"/>
      <c r="AF57" s="2"/>
      <c r="AG57" s="2"/>
      <c r="AH57" s="2"/>
      <c r="AI57" s="2"/>
      <c r="AJ57" s="2"/>
    </row>
    <row r="58" spans="2:36" s="1" customFormat="1" x14ac:dyDescent="0.2">
      <c r="B58" s="4"/>
      <c r="C58" s="222"/>
      <c r="D58" s="2"/>
      <c r="E58" s="444" t="s">
        <v>34</v>
      </c>
      <c r="F58" s="446" t="s">
        <v>35</v>
      </c>
      <c r="G58" s="446"/>
      <c r="H58" s="446"/>
      <c r="I58" s="447"/>
      <c r="J58" s="2"/>
      <c r="K58" s="2"/>
      <c r="L58" s="5"/>
      <c r="O58" s="4"/>
      <c r="P58" s="278" t="s">
        <v>60</v>
      </c>
      <c r="Q58" s="279"/>
      <c r="R58" s="280"/>
      <c r="S58" s="281" t="s">
        <v>61</v>
      </c>
      <c r="T58" s="282"/>
      <c r="U58" s="283"/>
      <c r="V58" s="59" t="s">
        <v>62</v>
      </c>
      <c r="W58" s="2"/>
      <c r="X58" s="2"/>
      <c r="Y58" s="5"/>
      <c r="AA58" s="2"/>
      <c r="AB58" s="2"/>
      <c r="AC58" s="2"/>
      <c r="AD58" s="2"/>
      <c r="AE58" s="2"/>
      <c r="AF58" s="2"/>
      <c r="AG58" s="2"/>
      <c r="AH58" s="2"/>
      <c r="AI58" s="2"/>
      <c r="AJ58" s="2"/>
    </row>
    <row r="59" spans="2:36" s="1" customFormat="1" ht="17" thickBot="1" x14ac:dyDescent="0.25">
      <c r="B59" s="4"/>
      <c r="C59" s="222"/>
      <c r="D59" s="2"/>
      <c r="E59" s="445" t="s">
        <v>36</v>
      </c>
      <c r="F59" s="448" t="s">
        <v>37</v>
      </c>
      <c r="G59" s="448"/>
      <c r="H59" s="448"/>
      <c r="I59" s="449"/>
      <c r="J59" s="2"/>
      <c r="K59" s="2"/>
      <c r="L59" s="5"/>
      <c r="O59" s="4"/>
      <c r="P59" s="284" t="s">
        <v>63</v>
      </c>
      <c r="Q59" s="285"/>
      <c r="R59" s="286"/>
      <c r="S59" s="287" t="s">
        <v>64</v>
      </c>
      <c r="T59" s="288"/>
      <c r="U59" s="289"/>
      <c r="V59" s="60">
        <v>2</v>
      </c>
      <c r="W59" s="2"/>
      <c r="X59" s="2"/>
      <c r="Y59" s="5"/>
      <c r="AA59" s="2"/>
      <c r="AB59" s="2"/>
      <c r="AC59" s="2"/>
      <c r="AD59" s="2"/>
      <c r="AE59" s="2"/>
      <c r="AF59" s="2"/>
      <c r="AG59" s="2"/>
      <c r="AH59" s="2"/>
      <c r="AI59" s="2"/>
      <c r="AJ59" s="2"/>
    </row>
    <row r="60" spans="2:36" s="1" customFormat="1" x14ac:dyDescent="0.2">
      <c r="B60" s="4"/>
      <c r="C60" s="222"/>
      <c r="D60" s="2"/>
      <c r="E60" s="2"/>
      <c r="F60" s="2"/>
      <c r="G60" s="2"/>
      <c r="H60" s="2"/>
      <c r="I60" s="2"/>
      <c r="J60" s="2"/>
      <c r="K60" s="2"/>
      <c r="L60" s="5"/>
      <c r="O60" s="4"/>
      <c r="P60" s="284" t="s">
        <v>65</v>
      </c>
      <c r="Q60" s="285"/>
      <c r="R60" s="286"/>
      <c r="S60" s="290" t="s">
        <v>66</v>
      </c>
      <c r="T60" s="291"/>
      <c r="U60" s="292"/>
      <c r="V60" s="60">
        <v>1.5</v>
      </c>
      <c r="W60" s="2"/>
      <c r="X60" s="2"/>
      <c r="Y60" s="5"/>
      <c r="AA60" s="2"/>
      <c r="AB60" s="2"/>
      <c r="AC60" s="2"/>
      <c r="AD60" s="2"/>
      <c r="AE60" s="2"/>
      <c r="AF60" s="2"/>
      <c r="AG60" s="2"/>
      <c r="AH60" s="2"/>
      <c r="AI60" s="2"/>
      <c r="AJ60" s="2"/>
    </row>
    <row r="61" spans="2:36" s="1" customFormat="1" ht="21" x14ac:dyDescent="0.25">
      <c r="B61" s="439">
        <f>$B$18*(1-(F61/100))</f>
        <v>367399.99999999994</v>
      </c>
      <c r="C61" s="423" t="s">
        <v>145</v>
      </c>
      <c r="D61" s="424"/>
      <c r="E61" s="2"/>
      <c r="F61" s="422">
        <f>Heidecke!H11</f>
        <v>33.200000000000003</v>
      </c>
      <c r="G61" s="425" t="s">
        <v>144</v>
      </c>
      <c r="H61" s="426"/>
      <c r="I61" s="2"/>
      <c r="J61" s="2"/>
      <c r="K61" s="2"/>
      <c r="L61" s="5"/>
      <c r="O61" s="4"/>
      <c r="P61" s="284" t="s">
        <v>67</v>
      </c>
      <c r="Q61" s="285"/>
      <c r="R61" s="286"/>
      <c r="S61" s="290" t="s">
        <v>68</v>
      </c>
      <c r="T61" s="291"/>
      <c r="U61" s="292"/>
      <c r="V61" s="60">
        <v>0.5</v>
      </c>
      <c r="W61" s="2"/>
      <c r="X61" s="2"/>
      <c r="Y61" s="5"/>
      <c r="AA61" s="2"/>
      <c r="AB61" s="2"/>
      <c r="AC61" s="2"/>
      <c r="AD61" s="2"/>
      <c r="AE61" s="2"/>
      <c r="AF61" s="2"/>
      <c r="AG61" s="2"/>
      <c r="AH61" s="2"/>
      <c r="AI61" s="2"/>
      <c r="AJ61" s="2"/>
    </row>
    <row r="62" spans="2:36" s="1" customFormat="1" ht="17" thickBot="1" x14ac:dyDescent="0.25">
      <c r="B62" s="25"/>
      <c r="C62" s="442"/>
      <c r="D62" s="26"/>
      <c r="E62" s="26"/>
      <c r="F62" s="26"/>
      <c r="G62" s="26"/>
      <c r="H62" s="26"/>
      <c r="I62" s="26"/>
      <c r="J62" s="26"/>
      <c r="K62" s="26"/>
      <c r="L62" s="27"/>
      <c r="O62" s="4"/>
      <c r="P62" s="284" t="s">
        <v>69</v>
      </c>
      <c r="Q62" s="285"/>
      <c r="R62" s="286"/>
      <c r="S62" s="287" t="s">
        <v>64</v>
      </c>
      <c r="T62" s="288"/>
      <c r="U62" s="289"/>
      <c r="V62" s="60">
        <v>1</v>
      </c>
      <c r="W62" s="2"/>
      <c r="X62" s="2"/>
      <c r="Y62" s="5"/>
      <c r="AA62" s="2"/>
      <c r="AB62" s="2"/>
      <c r="AC62" s="2"/>
      <c r="AD62" s="2"/>
      <c r="AE62" s="2"/>
      <c r="AF62" s="2"/>
      <c r="AG62" s="2"/>
      <c r="AH62" s="2"/>
      <c r="AI62" s="2"/>
      <c r="AJ62" s="2"/>
    </row>
    <row r="63" spans="2:36" s="1" customFormat="1" x14ac:dyDescent="0.2">
      <c r="C63" s="209"/>
      <c r="O63" s="4"/>
      <c r="P63" s="284" t="s">
        <v>70</v>
      </c>
      <c r="Q63" s="285"/>
      <c r="R63" s="286"/>
      <c r="S63" s="290" t="s">
        <v>64</v>
      </c>
      <c r="T63" s="291"/>
      <c r="U63" s="292"/>
      <c r="V63" s="60">
        <v>1</v>
      </c>
      <c r="W63" s="2"/>
      <c r="X63" s="2"/>
      <c r="Y63" s="5"/>
      <c r="AA63" s="2"/>
      <c r="AB63" s="2"/>
      <c r="AC63" s="2"/>
      <c r="AD63" s="2"/>
      <c r="AE63" s="2"/>
      <c r="AF63" s="2"/>
      <c r="AG63" s="2"/>
      <c r="AH63" s="2"/>
      <c r="AI63" s="2"/>
      <c r="AJ63" s="2"/>
    </row>
    <row r="64" spans="2:36" s="1" customFormat="1" ht="18" x14ac:dyDescent="0.2">
      <c r="B64" s="39" t="s">
        <v>38</v>
      </c>
      <c r="C64" s="209"/>
      <c r="O64" s="4"/>
      <c r="P64" s="284" t="s">
        <v>71</v>
      </c>
      <c r="Q64" s="285"/>
      <c r="R64" s="286"/>
      <c r="S64" s="290" t="s">
        <v>64</v>
      </c>
      <c r="T64" s="291"/>
      <c r="U64" s="292"/>
      <c r="V64" s="60">
        <v>1</v>
      </c>
      <c r="W64" s="2"/>
      <c r="X64" s="2"/>
      <c r="Y64" s="5"/>
      <c r="AA64" s="2"/>
      <c r="AB64" s="2"/>
      <c r="AC64" s="2"/>
      <c r="AD64" s="2"/>
      <c r="AE64" s="2"/>
      <c r="AF64" s="2"/>
      <c r="AG64" s="2"/>
      <c r="AH64" s="2"/>
      <c r="AI64" s="2"/>
      <c r="AJ64" s="2"/>
    </row>
    <row r="65" spans="2:36" s="1" customFormat="1" ht="17" thickBot="1" x14ac:dyDescent="0.25">
      <c r="O65" s="4"/>
      <c r="P65" s="293" t="s">
        <v>72</v>
      </c>
      <c r="Q65" s="294"/>
      <c r="R65" s="295"/>
      <c r="S65" s="296" t="s">
        <v>73</v>
      </c>
      <c r="T65" s="297"/>
      <c r="U65" s="298"/>
      <c r="V65" s="61">
        <f>Criticidade!I22</f>
        <v>7</v>
      </c>
      <c r="W65" s="2"/>
      <c r="X65" s="2"/>
      <c r="Y65" s="5"/>
      <c r="AA65" s="2"/>
      <c r="AB65" s="2"/>
      <c r="AC65" s="2"/>
      <c r="AD65" s="2"/>
      <c r="AE65" s="2"/>
      <c r="AF65" s="2"/>
      <c r="AG65" s="2"/>
      <c r="AH65" s="2"/>
      <c r="AI65" s="2"/>
      <c r="AJ65" s="2"/>
    </row>
    <row r="66" spans="2:36" s="1" customFormat="1" ht="17" thickBot="1" x14ac:dyDescent="0.25">
      <c r="C66" s="40" t="s">
        <v>39</v>
      </c>
      <c r="D66" s="41">
        <f>100*B12/B13</f>
        <v>60</v>
      </c>
      <c r="E66" s="3"/>
      <c r="F66" s="2"/>
      <c r="G66" s="42" t="s">
        <v>17</v>
      </c>
      <c r="H66" s="43">
        <f>RossHeidecke!H6</f>
        <v>65.26400000000001</v>
      </c>
      <c r="I66" s="44" t="s">
        <v>7</v>
      </c>
      <c r="J66" s="2"/>
      <c r="K66" s="30">
        <f>$B$18*(1-H66/100)</f>
        <v>191047.99999999994</v>
      </c>
      <c r="O66" s="4"/>
      <c r="P66" s="2"/>
      <c r="Q66" s="2"/>
      <c r="R66" s="2"/>
      <c r="S66" s="2"/>
      <c r="T66" s="2"/>
      <c r="U66" s="2"/>
      <c r="V66" s="2"/>
      <c r="W66" s="2"/>
      <c r="X66" s="2"/>
      <c r="Y66" s="5"/>
      <c r="AA66" s="2"/>
      <c r="AB66" s="2"/>
      <c r="AC66" s="2"/>
      <c r="AD66" s="2"/>
      <c r="AE66" s="2"/>
      <c r="AF66" s="2"/>
      <c r="AG66" s="2"/>
      <c r="AH66" s="2"/>
      <c r="AI66" s="2"/>
      <c r="AJ66" s="2"/>
    </row>
    <row r="67" spans="2:36" s="1" customFormat="1" x14ac:dyDescent="0.2">
      <c r="O67" s="4"/>
      <c r="P67" s="2"/>
      <c r="Q67" s="2"/>
      <c r="R67" s="62" t="s">
        <v>74</v>
      </c>
      <c r="S67" s="299">
        <f>B12</f>
        <v>3</v>
      </c>
      <c r="T67" s="300"/>
      <c r="U67" s="2"/>
      <c r="V67" s="2"/>
      <c r="W67" s="2"/>
      <c r="X67" s="2"/>
      <c r="Y67" s="5"/>
      <c r="AA67" s="2"/>
      <c r="AB67" s="2"/>
      <c r="AC67" s="2"/>
      <c r="AD67" s="2"/>
      <c r="AE67" s="2"/>
      <c r="AF67" s="2"/>
      <c r="AG67" s="2"/>
      <c r="AH67" s="2"/>
      <c r="AI67" s="2"/>
      <c r="AJ67" s="2"/>
    </row>
    <row r="68" spans="2:36" s="1" customFormat="1" ht="17" thickBot="1" x14ac:dyDescent="0.25">
      <c r="O68" s="4"/>
      <c r="P68" s="2"/>
      <c r="Q68" s="2"/>
      <c r="R68" s="2"/>
      <c r="S68" s="2"/>
      <c r="T68" s="2"/>
      <c r="U68" s="2"/>
      <c r="V68" s="2"/>
      <c r="W68" s="2"/>
      <c r="X68" s="2"/>
      <c r="Y68" s="5"/>
      <c r="AA68" s="2"/>
      <c r="AB68" s="2"/>
      <c r="AC68" s="2"/>
      <c r="AD68" s="2"/>
      <c r="AE68" s="2"/>
      <c r="AF68" s="2"/>
      <c r="AG68" s="2"/>
      <c r="AH68" s="2"/>
      <c r="AI68" s="2"/>
      <c r="AJ68" s="2"/>
    </row>
    <row r="69" spans="2:36" s="1" customFormat="1" ht="17" thickBot="1" x14ac:dyDescent="0.25">
      <c r="O69" s="4"/>
      <c r="P69" s="2"/>
      <c r="Q69" s="2"/>
      <c r="R69" s="2"/>
      <c r="S69" s="2"/>
      <c r="T69" s="63" t="s">
        <v>17</v>
      </c>
      <c r="U69" s="64">
        <f>Criticidade!I5</f>
        <v>18.370212310914809</v>
      </c>
      <c r="V69" s="65" t="s">
        <v>7</v>
      </c>
      <c r="W69" s="2"/>
      <c r="X69" s="2"/>
      <c r="Y69" s="66">
        <f>$B$18*(1-U69/100)</f>
        <v>448963.8322899685</v>
      </c>
      <c r="AA69" s="2"/>
      <c r="AB69" s="2"/>
      <c r="AC69" s="2"/>
      <c r="AD69" s="2"/>
      <c r="AE69" s="2"/>
      <c r="AF69" s="2"/>
      <c r="AG69" s="2"/>
      <c r="AH69" s="2"/>
      <c r="AI69" s="2"/>
      <c r="AJ69" s="2"/>
    </row>
    <row r="70" spans="2:36" s="1" customFormat="1" x14ac:dyDescent="0.2">
      <c r="O70" s="4"/>
      <c r="P70" s="2"/>
      <c r="Q70" s="2"/>
      <c r="R70" s="2"/>
      <c r="S70" s="2"/>
      <c r="T70" s="2"/>
      <c r="U70" s="2"/>
      <c r="V70" s="2"/>
      <c r="W70" s="2"/>
      <c r="X70" s="2"/>
      <c r="Y70" s="5"/>
      <c r="AA70" s="2"/>
      <c r="AB70" s="2"/>
      <c r="AC70" s="2"/>
      <c r="AD70" s="2"/>
      <c r="AE70" s="2"/>
      <c r="AF70" s="2"/>
      <c r="AG70" s="2"/>
      <c r="AH70" s="2"/>
      <c r="AI70" s="2"/>
      <c r="AJ70" s="2"/>
    </row>
    <row r="71" spans="2:36" s="1" customFormat="1" ht="17" thickBot="1" x14ac:dyDescent="0.25">
      <c r="O71" s="25"/>
      <c r="P71" s="26"/>
      <c r="Q71" s="26"/>
      <c r="R71" s="26"/>
      <c r="S71" s="26"/>
      <c r="T71" s="26"/>
      <c r="U71" s="26"/>
      <c r="V71" s="26"/>
      <c r="W71" s="26"/>
      <c r="X71" s="26"/>
      <c r="Y71" s="27"/>
      <c r="AA71" s="2"/>
      <c r="AB71" s="2"/>
      <c r="AC71" s="2"/>
      <c r="AD71" s="2"/>
      <c r="AE71" s="2"/>
      <c r="AF71" s="2"/>
      <c r="AG71" s="2"/>
      <c r="AH71" s="2"/>
      <c r="AI71" s="2"/>
      <c r="AJ71" s="2"/>
    </row>
    <row r="72" spans="2:36" s="1" customFormat="1" ht="18" x14ac:dyDescent="0.2">
      <c r="B72" s="427" t="s">
        <v>53</v>
      </c>
      <c r="C72" s="428"/>
      <c r="D72" s="428"/>
      <c r="E72" s="428"/>
      <c r="F72" s="428"/>
      <c r="G72" s="428"/>
      <c r="H72" s="428"/>
      <c r="I72" s="428"/>
      <c r="J72" s="428"/>
      <c r="K72" s="466"/>
      <c r="L72" s="11"/>
      <c r="AA72" s="2"/>
      <c r="AB72" s="2"/>
      <c r="AC72" s="2"/>
      <c r="AD72" s="2"/>
      <c r="AE72" s="2"/>
      <c r="AF72" s="2"/>
      <c r="AG72" s="2"/>
      <c r="AH72" s="2"/>
      <c r="AI72" s="2"/>
      <c r="AJ72" s="2"/>
    </row>
    <row r="73" spans="2:36" s="1" customFormat="1" x14ac:dyDescent="0.2">
      <c r="B73" s="4"/>
      <c r="C73" s="222"/>
      <c r="D73" s="2"/>
      <c r="E73" s="2"/>
      <c r="F73" s="2"/>
      <c r="G73" s="2"/>
      <c r="H73" s="2"/>
      <c r="I73" s="2"/>
      <c r="J73" s="2"/>
      <c r="K73" s="2"/>
      <c r="L73" s="5"/>
      <c r="AA73" s="2"/>
      <c r="AB73" s="2"/>
      <c r="AC73" s="2"/>
      <c r="AD73" s="2"/>
      <c r="AE73" s="2"/>
      <c r="AF73" s="2"/>
      <c r="AG73" s="2"/>
      <c r="AH73" s="2"/>
      <c r="AI73" s="2"/>
      <c r="AJ73" s="2"/>
    </row>
    <row r="74" spans="2:36" s="1" customFormat="1" x14ac:dyDescent="0.2">
      <c r="B74" s="4"/>
      <c r="C74" s="222"/>
      <c r="D74" s="2"/>
      <c r="E74" s="2"/>
      <c r="F74" s="2"/>
      <c r="G74" s="2"/>
      <c r="H74" s="2"/>
      <c r="I74" s="2"/>
      <c r="J74" s="2"/>
      <c r="K74" s="2"/>
      <c r="L74" s="5"/>
      <c r="AA74" s="2"/>
      <c r="AB74" s="2"/>
      <c r="AC74" s="2"/>
      <c r="AD74" s="2"/>
      <c r="AE74" s="2"/>
      <c r="AF74" s="2"/>
      <c r="AG74" s="2"/>
      <c r="AH74" s="2"/>
      <c r="AI74" s="2"/>
      <c r="AJ74" s="2"/>
    </row>
    <row r="75" spans="2:36" s="1" customFormat="1" x14ac:dyDescent="0.2">
      <c r="B75" s="4"/>
      <c r="C75" s="222"/>
      <c r="D75" s="463">
        <v>1100</v>
      </c>
      <c r="E75" s="461" t="s">
        <v>55</v>
      </c>
      <c r="F75" s="453" t="s">
        <v>54</v>
      </c>
      <c r="G75" s="454"/>
      <c r="H75" s="454"/>
      <c r="I75" s="454"/>
      <c r="J75" s="405"/>
      <c r="K75" s="2"/>
      <c r="L75" s="5"/>
      <c r="AA75" s="2"/>
      <c r="AB75" s="2"/>
      <c r="AC75" s="2"/>
      <c r="AD75" s="2"/>
      <c r="AE75" s="2"/>
      <c r="AF75" s="2"/>
      <c r="AG75" s="2"/>
      <c r="AH75" s="2"/>
      <c r="AI75" s="2"/>
      <c r="AJ75" s="2"/>
    </row>
    <row r="76" spans="2:36" s="1" customFormat="1" x14ac:dyDescent="0.2">
      <c r="B76" s="4"/>
      <c r="C76" s="222"/>
      <c r="D76" s="463">
        <v>150</v>
      </c>
      <c r="E76" s="461" t="s">
        <v>55</v>
      </c>
      <c r="F76" s="453" t="s">
        <v>56</v>
      </c>
      <c r="G76" s="454"/>
      <c r="H76" s="454"/>
      <c r="I76" s="454"/>
      <c r="J76" s="405"/>
      <c r="K76" s="2"/>
      <c r="L76" s="5"/>
      <c r="AA76" s="2"/>
      <c r="AB76" s="2"/>
      <c r="AC76" s="2"/>
      <c r="AD76" s="2"/>
      <c r="AE76" s="2"/>
      <c r="AF76" s="2"/>
      <c r="AG76" s="2"/>
      <c r="AH76" s="2"/>
      <c r="AI76" s="2"/>
      <c r="AJ76" s="2"/>
    </row>
    <row r="77" spans="2:36" s="1" customFormat="1" x14ac:dyDescent="0.2">
      <c r="B77" s="4"/>
      <c r="C77" s="222"/>
      <c r="D77" s="464">
        <f>B14/100</f>
        <v>0.1</v>
      </c>
      <c r="E77" s="461" t="s">
        <v>57</v>
      </c>
      <c r="F77" s="455" t="s">
        <v>146</v>
      </c>
      <c r="G77" s="456"/>
      <c r="H77" s="456"/>
      <c r="I77" s="456"/>
      <c r="J77" s="457"/>
      <c r="K77" s="2"/>
      <c r="L77" s="5"/>
      <c r="AA77" s="2"/>
      <c r="AB77" s="2"/>
      <c r="AC77" s="2"/>
      <c r="AD77" s="2"/>
      <c r="AE77" s="2"/>
      <c r="AF77" s="2"/>
      <c r="AG77" s="2"/>
      <c r="AH77" s="2"/>
      <c r="AI77" s="2"/>
      <c r="AJ77" s="2"/>
    </row>
    <row r="78" spans="2:36" s="1" customFormat="1" x14ac:dyDescent="0.2">
      <c r="B78" s="4"/>
      <c r="C78" s="222"/>
      <c r="D78" s="465">
        <v>246</v>
      </c>
      <c r="E78" s="462" t="s">
        <v>55</v>
      </c>
      <c r="F78" s="458" t="s">
        <v>58</v>
      </c>
      <c r="G78" s="459"/>
      <c r="H78" s="459"/>
      <c r="I78" s="459"/>
      <c r="J78" s="460"/>
      <c r="K78" s="2"/>
      <c r="L78" s="5"/>
      <c r="AA78" s="2"/>
      <c r="AB78" s="2"/>
      <c r="AC78" s="2"/>
      <c r="AD78" s="2"/>
      <c r="AE78" s="2"/>
      <c r="AF78" s="2"/>
      <c r="AG78" s="2"/>
      <c r="AH78" s="2"/>
      <c r="AI78" s="2"/>
      <c r="AJ78" s="2"/>
    </row>
    <row r="79" spans="2:36" s="1" customFormat="1" ht="17" thickBot="1" x14ac:dyDescent="0.25">
      <c r="B79" s="25"/>
      <c r="C79" s="442"/>
      <c r="D79" s="26"/>
      <c r="E79" s="26"/>
      <c r="F79" s="26"/>
      <c r="G79" s="26"/>
      <c r="H79" s="26"/>
      <c r="I79" s="26"/>
      <c r="J79" s="26"/>
      <c r="K79" s="26"/>
      <c r="L79" s="27"/>
      <c r="AA79" s="2"/>
      <c r="AB79" s="2"/>
      <c r="AC79" s="2"/>
      <c r="AD79" s="2"/>
      <c r="AE79" s="2"/>
      <c r="AF79" s="2"/>
      <c r="AG79" s="2"/>
      <c r="AH79" s="2"/>
      <c r="AI79" s="2"/>
      <c r="AJ79" s="2"/>
    </row>
    <row r="80" spans="2:36" s="1" customFormat="1" x14ac:dyDescent="0.2">
      <c r="C80" s="209"/>
      <c r="AA80" s="2"/>
      <c r="AB80" s="2"/>
      <c r="AC80" s="2"/>
      <c r="AD80" s="2"/>
      <c r="AE80" s="2"/>
      <c r="AF80" s="2"/>
      <c r="AG80" s="2"/>
      <c r="AH80" s="2"/>
      <c r="AI80" s="2"/>
      <c r="AJ80" s="2"/>
    </row>
    <row r="81" spans="3:36" s="1" customFormat="1" x14ac:dyDescent="0.2">
      <c r="C81" s="209"/>
      <c r="AA81" s="2"/>
      <c r="AB81" s="2"/>
      <c r="AC81" s="2"/>
      <c r="AD81" s="2"/>
      <c r="AE81" s="2"/>
      <c r="AF81" s="2"/>
      <c r="AG81" s="2"/>
      <c r="AH81" s="2"/>
      <c r="AI81" s="2"/>
      <c r="AJ81" s="2"/>
    </row>
    <row r="82" spans="3:36" s="1" customFormat="1" x14ac:dyDescent="0.2">
      <c r="C82" s="209"/>
      <c r="AA82" s="2"/>
      <c r="AB82" s="2"/>
      <c r="AC82" s="2"/>
      <c r="AD82" s="2"/>
      <c r="AE82" s="2"/>
      <c r="AF82" s="2"/>
      <c r="AG82" s="2"/>
      <c r="AH82" s="2"/>
      <c r="AI82" s="2"/>
      <c r="AJ82" s="2"/>
    </row>
    <row r="83" spans="3:36" s="1" customFormat="1" x14ac:dyDescent="0.2">
      <c r="C83" s="209"/>
      <c r="AA83" s="2"/>
      <c r="AB83" s="2"/>
      <c r="AC83" s="2"/>
      <c r="AD83" s="2"/>
      <c r="AE83" s="2"/>
      <c r="AF83" s="2"/>
      <c r="AG83" s="2"/>
      <c r="AH83" s="2"/>
      <c r="AI83" s="2"/>
      <c r="AJ83" s="2"/>
    </row>
    <row r="84" spans="3:36" s="1" customFormat="1" x14ac:dyDescent="0.2">
      <c r="C84" s="209"/>
      <c r="AA84" s="2"/>
      <c r="AB84" s="2"/>
      <c r="AC84" s="2"/>
      <c r="AD84" s="2"/>
      <c r="AE84" s="2"/>
      <c r="AF84" s="2"/>
      <c r="AG84" s="2"/>
      <c r="AH84" s="2"/>
      <c r="AI84" s="2"/>
      <c r="AJ84" s="2"/>
    </row>
    <row r="85" spans="3:36" s="1" customFormat="1" x14ac:dyDescent="0.2">
      <c r="C85" s="209"/>
      <c r="AA85" s="2"/>
      <c r="AB85" s="2"/>
      <c r="AC85" s="2"/>
      <c r="AD85" s="2"/>
      <c r="AE85" s="2"/>
      <c r="AF85" s="2"/>
      <c r="AG85" s="2"/>
      <c r="AH85" s="2"/>
      <c r="AI85" s="2"/>
      <c r="AJ85" s="2"/>
    </row>
    <row r="86" spans="3:36" s="1" customFormat="1" x14ac:dyDescent="0.2">
      <c r="C86" s="209"/>
      <c r="AA86" s="2"/>
      <c r="AB86" s="2"/>
      <c r="AC86" s="2"/>
      <c r="AD86" s="2"/>
      <c r="AE86" s="2"/>
      <c r="AF86" s="2"/>
      <c r="AG86" s="2"/>
      <c r="AH86" s="2"/>
      <c r="AI86" s="2"/>
      <c r="AJ86" s="2"/>
    </row>
    <row r="87" spans="3:36" s="1" customFormat="1" x14ac:dyDescent="0.2">
      <c r="C87" s="209"/>
      <c r="AA87" s="2"/>
      <c r="AB87" s="2"/>
      <c r="AC87" s="2"/>
      <c r="AD87" s="2"/>
      <c r="AE87" s="2"/>
      <c r="AF87" s="2"/>
      <c r="AG87" s="2"/>
      <c r="AH87" s="2"/>
      <c r="AI87" s="2"/>
      <c r="AJ87" s="2"/>
    </row>
    <row r="88" spans="3:36" s="1" customFormat="1" x14ac:dyDescent="0.2">
      <c r="C88" s="209"/>
      <c r="AA88" s="2"/>
      <c r="AB88" s="2"/>
      <c r="AC88" s="2"/>
      <c r="AD88" s="2"/>
      <c r="AE88" s="2"/>
      <c r="AF88" s="2"/>
      <c r="AG88" s="2"/>
      <c r="AH88" s="2"/>
      <c r="AI88" s="2"/>
      <c r="AJ88" s="2"/>
    </row>
    <row r="89" spans="3:36" s="1" customFormat="1" x14ac:dyDescent="0.2">
      <c r="C89" s="209"/>
      <c r="AA89" s="2"/>
      <c r="AB89" s="2"/>
      <c r="AC89" s="2"/>
      <c r="AD89" s="2"/>
      <c r="AE89" s="2"/>
      <c r="AF89" s="2"/>
      <c r="AG89" s="2"/>
      <c r="AH89" s="2"/>
      <c r="AI89" s="2"/>
      <c r="AJ89" s="2"/>
    </row>
    <row r="90" spans="3:36" s="1" customFormat="1" x14ac:dyDescent="0.2">
      <c r="C90" s="209"/>
      <c r="AA90" s="2"/>
      <c r="AB90" s="2"/>
      <c r="AC90" s="2"/>
      <c r="AD90" s="2"/>
      <c r="AE90" s="2"/>
      <c r="AF90" s="2"/>
      <c r="AG90" s="2"/>
      <c r="AH90" s="2"/>
      <c r="AI90" s="2"/>
      <c r="AJ90" s="2"/>
    </row>
    <row r="91" spans="3:36" s="1" customFormat="1" x14ac:dyDescent="0.2">
      <c r="C91" s="209"/>
      <c r="AA91" s="2"/>
      <c r="AB91" s="2"/>
      <c r="AC91" s="2"/>
      <c r="AD91" s="2"/>
      <c r="AE91" s="2"/>
      <c r="AF91" s="2"/>
      <c r="AG91" s="2"/>
      <c r="AH91" s="2"/>
      <c r="AI91" s="2"/>
      <c r="AJ91" s="2"/>
    </row>
    <row r="92" spans="3:36" s="1" customFormat="1" x14ac:dyDescent="0.2">
      <c r="C92" s="209"/>
      <c r="AA92" s="2"/>
      <c r="AB92" s="2"/>
      <c r="AC92" s="2"/>
      <c r="AD92" s="2"/>
      <c r="AE92" s="2"/>
      <c r="AF92" s="2"/>
      <c r="AG92" s="2"/>
      <c r="AH92" s="2"/>
      <c r="AI92" s="2"/>
      <c r="AJ92" s="2"/>
    </row>
    <row r="93" spans="3:36" s="1" customFormat="1" x14ac:dyDescent="0.2">
      <c r="C93" s="209"/>
      <c r="AA93" s="2"/>
      <c r="AB93" s="2"/>
      <c r="AC93" s="2"/>
      <c r="AD93" s="2"/>
      <c r="AE93" s="2"/>
      <c r="AF93" s="2"/>
      <c r="AG93" s="2"/>
      <c r="AH93" s="2"/>
      <c r="AI93" s="2"/>
      <c r="AJ93" s="2"/>
    </row>
    <row r="94" spans="3:36" s="1" customFormat="1" x14ac:dyDescent="0.2">
      <c r="C94" s="209"/>
      <c r="AA94" s="2"/>
      <c r="AB94" s="2"/>
      <c r="AC94" s="2"/>
      <c r="AD94" s="2"/>
      <c r="AE94" s="2"/>
      <c r="AF94" s="2"/>
      <c r="AG94" s="2"/>
      <c r="AH94" s="2"/>
      <c r="AI94" s="2"/>
      <c r="AJ94" s="2"/>
    </row>
    <row r="95" spans="3:36" s="1" customFormat="1" x14ac:dyDescent="0.2">
      <c r="C95" s="209"/>
      <c r="AA95" s="2"/>
      <c r="AB95" s="2"/>
      <c r="AC95" s="2"/>
      <c r="AD95" s="2"/>
      <c r="AE95" s="2"/>
      <c r="AF95" s="2"/>
      <c r="AG95" s="2"/>
      <c r="AH95" s="2"/>
      <c r="AI95" s="2"/>
      <c r="AJ95" s="2"/>
    </row>
    <row r="96" spans="3:36" s="1" customFormat="1" x14ac:dyDescent="0.2">
      <c r="C96" s="209"/>
      <c r="AA96" s="2"/>
      <c r="AB96" s="2"/>
      <c r="AC96" s="2"/>
      <c r="AD96" s="2"/>
      <c r="AE96" s="2"/>
      <c r="AF96" s="2"/>
      <c r="AG96" s="2"/>
      <c r="AH96" s="2"/>
      <c r="AI96" s="2"/>
      <c r="AJ96" s="2"/>
    </row>
    <row r="97" spans="3:36" s="1" customFormat="1" x14ac:dyDescent="0.2">
      <c r="C97" s="209"/>
      <c r="AA97" s="2"/>
      <c r="AB97" s="2"/>
      <c r="AC97" s="2"/>
      <c r="AD97" s="2"/>
      <c r="AE97" s="2"/>
      <c r="AF97" s="2"/>
      <c r="AG97" s="2"/>
      <c r="AH97" s="2"/>
      <c r="AI97" s="2"/>
      <c r="AJ97" s="2"/>
    </row>
    <row r="98" spans="3:36" s="1" customFormat="1" x14ac:dyDescent="0.2">
      <c r="C98" s="209"/>
      <c r="AA98" s="2"/>
      <c r="AB98" s="2"/>
      <c r="AC98" s="2"/>
      <c r="AD98" s="2"/>
      <c r="AE98" s="2"/>
      <c r="AF98" s="2"/>
      <c r="AG98" s="2"/>
      <c r="AH98" s="2"/>
      <c r="AI98" s="2"/>
      <c r="AJ98" s="2"/>
    </row>
    <row r="99" spans="3:36" s="1" customFormat="1" x14ac:dyDescent="0.2">
      <c r="C99" s="209"/>
      <c r="AA99" s="2"/>
      <c r="AB99" s="2"/>
      <c r="AC99" s="2"/>
      <c r="AD99" s="2"/>
      <c r="AE99" s="2"/>
      <c r="AF99" s="2"/>
      <c r="AG99" s="2"/>
      <c r="AH99" s="2"/>
      <c r="AI99" s="2"/>
      <c r="AJ99" s="2"/>
    </row>
    <row r="100" spans="3:36" s="1" customFormat="1" x14ac:dyDescent="0.2">
      <c r="C100" s="209"/>
      <c r="AA100" s="2"/>
      <c r="AB100" s="2"/>
      <c r="AC100" s="2"/>
      <c r="AD100" s="2"/>
      <c r="AE100" s="2"/>
      <c r="AF100" s="2"/>
      <c r="AG100" s="2"/>
      <c r="AH100" s="2"/>
      <c r="AI100" s="2"/>
      <c r="AJ100" s="2"/>
    </row>
    <row r="101" spans="3:36" s="1" customFormat="1" x14ac:dyDescent="0.2">
      <c r="C101" s="209"/>
      <c r="AA101" s="2"/>
      <c r="AB101" s="2"/>
      <c r="AC101" s="2"/>
      <c r="AD101" s="2"/>
      <c r="AE101" s="2"/>
      <c r="AF101" s="2"/>
      <c r="AG101" s="2"/>
      <c r="AH101" s="2"/>
      <c r="AI101" s="2"/>
      <c r="AJ101" s="2"/>
    </row>
    <row r="102" spans="3:36" s="1" customFormat="1" x14ac:dyDescent="0.2">
      <c r="C102" s="209"/>
      <c r="AA102" s="2"/>
      <c r="AB102" s="2"/>
      <c r="AC102" s="2"/>
      <c r="AD102" s="2"/>
      <c r="AE102" s="2"/>
      <c r="AF102" s="2"/>
      <c r="AG102" s="2"/>
      <c r="AH102" s="2"/>
      <c r="AI102" s="2"/>
      <c r="AJ102" s="2"/>
    </row>
    <row r="103" spans="3:36" s="1" customFormat="1" x14ac:dyDescent="0.2">
      <c r="C103" s="209"/>
      <c r="AA103" s="2"/>
      <c r="AB103" s="2"/>
      <c r="AC103" s="2"/>
      <c r="AD103" s="2"/>
      <c r="AE103" s="2"/>
      <c r="AF103" s="2"/>
      <c r="AG103" s="2"/>
      <c r="AH103" s="2"/>
      <c r="AI103" s="2"/>
      <c r="AJ103" s="2"/>
    </row>
    <row r="104" spans="3:36" s="1" customFormat="1" x14ac:dyDescent="0.2">
      <c r="C104" s="209"/>
      <c r="AA104" s="2"/>
      <c r="AB104" s="2"/>
      <c r="AC104" s="2"/>
      <c r="AD104" s="2"/>
      <c r="AE104" s="2"/>
      <c r="AF104" s="2"/>
      <c r="AG104" s="2"/>
      <c r="AH104" s="2"/>
      <c r="AI104" s="2"/>
      <c r="AJ104" s="2"/>
    </row>
    <row r="105" spans="3:36" s="1" customFormat="1" x14ac:dyDescent="0.2">
      <c r="C105" s="209"/>
      <c r="AA105" s="2"/>
      <c r="AB105" s="2"/>
      <c r="AC105" s="2"/>
      <c r="AD105" s="2"/>
      <c r="AE105" s="2"/>
      <c r="AF105" s="2"/>
      <c r="AG105" s="2"/>
      <c r="AH105" s="2"/>
      <c r="AI105" s="2"/>
      <c r="AJ105" s="2"/>
    </row>
    <row r="106" spans="3:36" s="1" customFormat="1" x14ac:dyDescent="0.2">
      <c r="C106" s="209"/>
      <c r="AA106" s="2"/>
      <c r="AB106" s="2"/>
      <c r="AC106" s="2"/>
      <c r="AD106" s="2"/>
      <c r="AE106" s="2"/>
      <c r="AF106" s="2"/>
      <c r="AG106" s="2"/>
      <c r="AH106" s="2"/>
      <c r="AI106" s="2"/>
      <c r="AJ106" s="2"/>
    </row>
    <row r="107" spans="3:36" s="1" customFormat="1" x14ac:dyDescent="0.2">
      <c r="C107" s="209"/>
      <c r="AA107" s="2"/>
      <c r="AB107" s="2"/>
      <c r="AC107" s="2"/>
      <c r="AD107" s="2"/>
      <c r="AE107" s="2"/>
      <c r="AF107" s="2"/>
      <c r="AG107" s="2"/>
      <c r="AH107" s="2"/>
      <c r="AI107" s="2"/>
      <c r="AJ107" s="2"/>
    </row>
    <row r="108" spans="3:36" s="1" customFormat="1" x14ac:dyDescent="0.2">
      <c r="C108" s="209"/>
      <c r="AA108" s="2"/>
      <c r="AB108" s="2"/>
      <c r="AC108" s="2"/>
      <c r="AD108" s="2"/>
      <c r="AE108" s="2"/>
      <c r="AF108" s="2"/>
      <c r="AG108" s="2"/>
      <c r="AH108" s="2"/>
      <c r="AI108" s="2"/>
      <c r="AJ108" s="2"/>
    </row>
    <row r="109" spans="3:36" s="1" customFormat="1" x14ac:dyDescent="0.2">
      <c r="C109" s="209"/>
      <c r="AA109" s="2"/>
      <c r="AB109" s="2"/>
      <c r="AC109" s="2"/>
      <c r="AD109" s="2"/>
      <c r="AE109" s="2"/>
      <c r="AF109" s="2"/>
      <c r="AG109" s="2"/>
      <c r="AH109" s="2"/>
      <c r="AI109" s="2"/>
      <c r="AJ109" s="2"/>
    </row>
    <row r="110" spans="3:36" s="1" customFormat="1" x14ac:dyDescent="0.2">
      <c r="C110" s="209"/>
      <c r="AA110" s="2"/>
      <c r="AB110" s="2"/>
      <c r="AC110" s="2"/>
      <c r="AD110" s="2"/>
      <c r="AE110" s="2"/>
      <c r="AF110" s="2"/>
      <c r="AG110" s="2"/>
      <c r="AH110" s="2"/>
      <c r="AI110" s="2"/>
      <c r="AJ110" s="2"/>
    </row>
    <row r="111" spans="3:36" s="1" customFormat="1" x14ac:dyDescent="0.2">
      <c r="C111" s="209"/>
      <c r="AA111" s="2"/>
      <c r="AB111" s="2"/>
      <c r="AC111" s="2"/>
      <c r="AD111" s="2"/>
      <c r="AE111" s="2"/>
      <c r="AF111" s="2"/>
      <c r="AG111" s="2"/>
      <c r="AH111" s="2"/>
      <c r="AI111" s="2"/>
      <c r="AJ111" s="2"/>
    </row>
    <row r="112" spans="3:36" s="1" customFormat="1" x14ac:dyDescent="0.2">
      <c r="C112" s="209"/>
      <c r="AA112" s="2"/>
      <c r="AB112" s="2"/>
      <c r="AC112" s="2"/>
      <c r="AD112" s="2"/>
      <c r="AE112" s="2"/>
      <c r="AF112" s="2"/>
      <c r="AG112" s="2"/>
      <c r="AH112" s="2"/>
      <c r="AI112" s="2"/>
      <c r="AJ112" s="2"/>
    </row>
    <row r="113" spans="3:36" s="1" customFormat="1" x14ac:dyDescent="0.2">
      <c r="C113" s="209"/>
      <c r="AA113" s="2"/>
      <c r="AB113" s="2"/>
      <c r="AC113" s="2"/>
      <c r="AD113" s="2"/>
      <c r="AE113" s="2"/>
      <c r="AF113" s="2"/>
      <c r="AG113" s="2"/>
      <c r="AH113" s="2"/>
      <c r="AI113" s="2"/>
      <c r="AJ113" s="2"/>
    </row>
  </sheetData>
  <mergeCells count="48">
    <mergeCell ref="D14:E14"/>
    <mergeCell ref="D13:E13"/>
    <mergeCell ref="D12:E12"/>
    <mergeCell ref="E50:I50"/>
    <mergeCell ref="C18:D18"/>
    <mergeCell ref="B22:C22"/>
    <mergeCell ref="P64:R64"/>
    <mergeCell ref="S64:U64"/>
    <mergeCell ref="P65:R65"/>
    <mergeCell ref="S65:U65"/>
    <mergeCell ref="S67:T67"/>
    <mergeCell ref="P61:R61"/>
    <mergeCell ref="S61:U61"/>
    <mergeCell ref="P62:R62"/>
    <mergeCell ref="S62:U62"/>
    <mergeCell ref="P63:R63"/>
    <mergeCell ref="S63:U63"/>
    <mergeCell ref="P58:R58"/>
    <mergeCell ref="S58:U58"/>
    <mergeCell ref="P59:R59"/>
    <mergeCell ref="S59:U59"/>
    <mergeCell ref="P60:R60"/>
    <mergeCell ref="S60:U60"/>
    <mergeCell ref="P56:V56"/>
    <mergeCell ref="B72:K72"/>
    <mergeCell ref="F75:J75"/>
    <mergeCell ref="W48:Y48"/>
    <mergeCell ref="F76:J76"/>
    <mergeCell ref="F77:J77"/>
    <mergeCell ref="F78:J78"/>
    <mergeCell ref="P35:Q35"/>
    <mergeCell ref="F51:I51"/>
    <mergeCell ref="F52:I52"/>
    <mergeCell ref="F53:I53"/>
    <mergeCell ref="F54:I54"/>
    <mergeCell ref="F55:I55"/>
    <mergeCell ref="F56:I56"/>
    <mergeCell ref="F57:I57"/>
    <mergeCell ref="F58:I58"/>
    <mergeCell ref="F59:I59"/>
    <mergeCell ref="T15:X15"/>
    <mergeCell ref="P18:R18"/>
    <mergeCell ref="T13:X13"/>
    <mergeCell ref="O1:R1"/>
    <mergeCell ref="O2:Y2"/>
    <mergeCell ref="G5:M6"/>
    <mergeCell ref="Y7:Y8"/>
    <mergeCell ref="P9:Q11"/>
  </mergeCells>
  <conditionalFormatting sqref="D75">
    <cfRule type="cellIs" dxfId="3" priority="1" stopIfTrue="1" operator="between">
      <formula>1100.001</formula>
      <formula>899.999</formula>
    </cfRule>
  </conditionalFormatting>
  <conditionalFormatting sqref="D76">
    <cfRule type="cellIs" dxfId="2" priority="2" stopIfTrue="1" operator="between">
      <formula>200.001</formula>
      <formula>149.999</formula>
    </cfRule>
  </conditionalFormatting>
  <conditionalFormatting sqref="B14">
    <cfRule type="cellIs" dxfId="1" priority="3" stopIfTrue="1" operator="between">
      <formula>0</formula>
      <formula>20</formula>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workbookViewId="0">
      <selection activeCell="V29" sqref="V29"/>
    </sheetView>
  </sheetViews>
  <sheetFormatPr baseColWidth="10" defaultColWidth="7.33203125" defaultRowHeight="16" x14ac:dyDescent="0.2"/>
  <cols>
    <col min="1" max="1" width="4.5" customWidth="1"/>
    <col min="2" max="2" width="6.83203125" customWidth="1"/>
    <col min="3" max="3" width="8" hidden="1" customWidth="1"/>
    <col min="4" max="4" width="6.6640625" customWidth="1"/>
    <col min="5" max="5" width="0" hidden="1" customWidth="1"/>
    <col min="6" max="6" width="7" customWidth="1"/>
    <col min="7" max="7" width="7.83203125" hidden="1" customWidth="1"/>
    <col min="8" max="8" width="7" customWidth="1"/>
    <col min="9" max="9" width="0" hidden="1" customWidth="1"/>
    <col min="10" max="10" width="6.5" customWidth="1"/>
    <col min="11" max="11" width="0" hidden="1" customWidth="1"/>
    <col min="12" max="12" width="7.83203125" bestFit="1" customWidth="1"/>
    <col min="13" max="13" width="0" hidden="1" customWidth="1"/>
    <col min="14" max="14" width="6.6640625" customWidth="1"/>
    <col min="15" max="15" width="6.1640625" hidden="1" customWidth="1"/>
    <col min="16" max="16" width="6.5" customWidth="1"/>
    <col min="17" max="17" width="2" customWidth="1"/>
  </cols>
  <sheetData>
    <row r="1" spans="1:17" ht="19" thickBot="1" x14ac:dyDescent="0.25">
      <c r="A1" s="272" t="s">
        <v>38</v>
      </c>
      <c r="B1" s="272"/>
      <c r="C1" s="272"/>
      <c r="D1" s="272"/>
      <c r="E1" s="2"/>
      <c r="F1" s="2"/>
      <c r="G1" s="2"/>
      <c r="H1" s="2"/>
      <c r="I1" s="2"/>
      <c r="J1" s="46"/>
      <c r="K1" s="46"/>
      <c r="L1" s="19"/>
      <c r="M1" s="19"/>
      <c r="N1" s="2"/>
      <c r="O1" s="2"/>
      <c r="P1" s="2"/>
      <c r="Q1" s="1"/>
    </row>
    <row r="2" spans="1:17" ht="17" thickBot="1" x14ac:dyDescent="0.25">
      <c r="A2" s="2"/>
      <c r="B2" s="2"/>
      <c r="C2" s="2"/>
      <c r="D2" s="2"/>
      <c r="E2" s="2"/>
      <c r="F2" s="2"/>
      <c r="G2" s="2"/>
      <c r="H2" s="2"/>
      <c r="I2" s="2"/>
      <c r="J2" s="199" t="s">
        <v>83</v>
      </c>
      <c r="K2" s="200"/>
      <c r="L2" s="201">
        <v>100</v>
      </c>
      <c r="M2" s="19"/>
      <c r="N2" s="2"/>
      <c r="O2" s="2"/>
      <c r="P2" s="2"/>
      <c r="Q2" s="1"/>
    </row>
    <row r="3" spans="1:17" x14ac:dyDescent="0.2">
      <c r="A3" s="147" t="s">
        <v>120</v>
      </c>
      <c r="B3" s="147"/>
      <c r="C3" s="147"/>
      <c r="D3" s="2"/>
      <c r="E3" s="2"/>
      <c r="F3" s="2"/>
      <c r="G3" s="2"/>
      <c r="H3" s="2"/>
      <c r="I3" s="2"/>
      <c r="J3" s="46"/>
      <c r="K3" s="46"/>
      <c r="L3" s="202"/>
      <c r="M3" s="202"/>
      <c r="N3" s="2"/>
      <c r="O3" s="2"/>
      <c r="P3" s="2"/>
      <c r="Q3" s="1"/>
    </row>
    <row r="4" spans="1:17" x14ac:dyDescent="0.2">
      <c r="A4" s="2"/>
      <c r="B4" s="2"/>
      <c r="C4" s="2"/>
      <c r="D4" s="2"/>
      <c r="E4" s="2"/>
      <c r="F4" s="2"/>
      <c r="G4" s="2"/>
      <c r="H4" s="2"/>
      <c r="I4" s="2"/>
      <c r="J4" s="2"/>
      <c r="K4" s="2"/>
      <c r="L4" s="203"/>
      <c r="M4" s="203"/>
      <c r="N4" s="2"/>
      <c r="O4" s="2"/>
      <c r="P4" s="2"/>
      <c r="Q4" s="1"/>
    </row>
    <row r="5" spans="1:17" ht="19" thickBot="1" x14ac:dyDescent="0.25">
      <c r="A5" s="204" t="s">
        <v>136</v>
      </c>
      <c r="B5" s="2"/>
      <c r="C5" s="2"/>
      <c r="D5" s="2"/>
      <c r="E5" s="2"/>
      <c r="F5" s="2"/>
      <c r="G5" s="2"/>
      <c r="H5" s="2"/>
      <c r="I5" s="2"/>
      <c r="J5" s="2"/>
      <c r="K5" s="2"/>
      <c r="L5" s="2"/>
      <c r="M5" s="2"/>
      <c r="N5" s="2"/>
      <c r="O5" s="2"/>
      <c r="P5" s="2"/>
      <c r="Q5" s="1"/>
    </row>
    <row r="6" spans="1:17" x14ac:dyDescent="0.2">
      <c r="A6" s="205" t="s">
        <v>7</v>
      </c>
      <c r="B6" s="206">
        <v>0</v>
      </c>
      <c r="C6" s="382">
        <v>3.2000000000000001E-2</v>
      </c>
      <c r="D6" s="382"/>
      <c r="E6" s="382">
        <v>2.52</v>
      </c>
      <c r="F6" s="382"/>
      <c r="G6" s="382">
        <v>8.09</v>
      </c>
      <c r="H6" s="382"/>
      <c r="I6" s="382">
        <v>18.100000000000001</v>
      </c>
      <c r="J6" s="382"/>
      <c r="K6" s="382">
        <v>33.200000000000003</v>
      </c>
      <c r="L6" s="382"/>
      <c r="M6" s="382">
        <v>58.6</v>
      </c>
      <c r="N6" s="382"/>
      <c r="O6" s="382">
        <v>75.2</v>
      </c>
      <c r="P6" s="383"/>
      <c r="Q6" s="1"/>
    </row>
    <row r="7" spans="1:17" s="210" customFormat="1" x14ac:dyDescent="0.2">
      <c r="A7" s="207" t="s">
        <v>10</v>
      </c>
      <c r="B7" s="208" t="s">
        <v>21</v>
      </c>
      <c r="C7" s="384" t="s">
        <v>20</v>
      </c>
      <c r="D7" s="384"/>
      <c r="E7" s="384" t="s">
        <v>24</v>
      </c>
      <c r="F7" s="384"/>
      <c r="G7" s="384" t="s">
        <v>26</v>
      </c>
      <c r="H7" s="384"/>
      <c r="I7" s="384" t="s">
        <v>28</v>
      </c>
      <c r="J7" s="384"/>
      <c r="K7" s="384" t="s">
        <v>30</v>
      </c>
      <c r="L7" s="384"/>
      <c r="M7" s="384" t="s">
        <v>32</v>
      </c>
      <c r="N7" s="384"/>
      <c r="O7" s="384" t="s">
        <v>34</v>
      </c>
      <c r="P7" s="385"/>
      <c r="Q7" s="209"/>
    </row>
    <row r="8" spans="1:17" x14ac:dyDescent="0.2">
      <c r="A8" s="211">
        <v>2</v>
      </c>
      <c r="B8" s="212">
        <f>100*((1-($B$6/100))/2)*((A8/$L$2)*(A8/$L$2)+(A8/$L$2))</f>
        <v>1.02</v>
      </c>
      <c r="C8" s="212">
        <f>100*((1-($C$6/100))/2)*((A8/$L$2)*(A8/$L$2)+(A8/$L$2))</f>
        <v>1.0196736000000002</v>
      </c>
      <c r="D8" s="212">
        <f>C8+$C$6</f>
        <v>1.0516736000000002</v>
      </c>
      <c r="E8" s="212">
        <f>100*((1-($E$6/100))/2)*((A8/$L$2)*(A8/$L$2)+(A8/$L$2))</f>
        <v>0.99429600000000007</v>
      </c>
      <c r="F8" s="213">
        <f>E8+$E$6</f>
        <v>3.5142959999999999</v>
      </c>
      <c r="G8" s="212">
        <f>100*((1-($G$6/100))/2)*((A8/$L$2)*(A8/$L$2)+(A8/$L$2))</f>
        <v>0.93748200000000004</v>
      </c>
      <c r="H8" s="213">
        <f>G8+$G$6</f>
        <v>9.0274819999999991</v>
      </c>
      <c r="I8" s="212">
        <f>100*((1-($I$6/100))/2)*((A8/$L$2)*(A8/$L$2)+(A8/$L$2))</f>
        <v>0.83538000000000001</v>
      </c>
      <c r="J8" s="213">
        <f>I8+$I$6</f>
        <v>18.935380000000002</v>
      </c>
      <c r="K8" s="212">
        <f>100*((1-($K$6/100))/2)*((A8/$L$2)*(A8/$L$2)+(A8/$L$2))</f>
        <v>0.68135999999999997</v>
      </c>
      <c r="L8" s="213">
        <f>K8+$K$6</f>
        <v>33.881360000000001</v>
      </c>
      <c r="M8" s="212">
        <f>100*((1-($M$6/100))/2)*((A8/$L$2)*(A8/$L$2)+(A8/$L$2))</f>
        <v>0.4222800000000001</v>
      </c>
      <c r="N8" s="213">
        <f>M8+$M$6</f>
        <v>59.022280000000002</v>
      </c>
      <c r="O8" s="212">
        <f>100*((1-($O$6/100))/2)*((A8/$L$2)*(A8/$L$2)+(A8/$L$2))</f>
        <v>0.25296000000000002</v>
      </c>
      <c r="P8" s="214">
        <f>O8+$O$6</f>
        <v>75.452960000000004</v>
      </c>
      <c r="Q8" s="215"/>
    </row>
    <row r="9" spans="1:17" x14ac:dyDescent="0.2">
      <c r="A9" s="211">
        <v>4</v>
      </c>
      <c r="B9" s="212">
        <f>100*((1-($B$6/100))/2)*((A9/$L$2)*(A9/$L$2)+(A9/$L$2))</f>
        <v>2.08</v>
      </c>
      <c r="C9" s="212">
        <f t="shared" ref="C9:C57" si="0">100*((1-($C$6/100))/2)*((A9/$L$2)*(A9/$L$2)+(A9/$L$2))</f>
        <v>2.0793344</v>
      </c>
      <c r="D9" s="212">
        <f t="shared" ref="D9:D57" si="1">C9+$C$6</f>
        <v>2.1113344000000001</v>
      </c>
      <c r="E9" s="212">
        <f t="shared" ref="E9:E57" si="2">100*((1-($E$6/100))/2)*((A9/$L$2)*(A9/$L$2)+(A9/$L$2))</f>
        <v>2.0275840000000001</v>
      </c>
      <c r="F9" s="213">
        <f t="shared" ref="F9:F57" si="3">E9+$E$6</f>
        <v>4.5475840000000005</v>
      </c>
      <c r="G9" s="212">
        <f t="shared" ref="G9:G57" si="4">100*((1-($G$6/100))/2)*((A9/$L$2)*(A9/$L$2)+(A9/$L$2))</f>
        <v>1.9117279999999999</v>
      </c>
      <c r="H9" s="213">
        <f t="shared" ref="H9:H57" si="5">G9+$G$6</f>
        <v>10.001728</v>
      </c>
      <c r="I9" s="212">
        <f t="shared" ref="I9:I57" si="6">100*((1-($I$6/100))/2)*((A9/$L$2)*(A9/$L$2)+(A9/$L$2))</f>
        <v>1.7035199999999997</v>
      </c>
      <c r="J9" s="213">
        <f t="shared" ref="J9:J57" si="7">I9+$I$6</f>
        <v>19.803520000000002</v>
      </c>
      <c r="K9" s="212">
        <f t="shared" ref="K9:K57" si="8">100*((1-($K$6/100))/2)*((A9/$L$2)*(A9/$L$2)+(A9/$L$2))</f>
        <v>1.3894399999999998</v>
      </c>
      <c r="L9" s="213">
        <f t="shared" ref="L9:L57" si="9">K9+$K$6</f>
        <v>34.589440000000003</v>
      </c>
      <c r="M9" s="212">
        <f t="shared" ref="M9:M57" si="10">100*((1-($M$6/100))/2)*((A9/$L$2)*(A9/$L$2)+(A9/$L$2))</f>
        <v>0.86112000000000011</v>
      </c>
      <c r="N9" s="213">
        <f>M9+$M$6</f>
        <v>59.461120000000001</v>
      </c>
      <c r="O9" s="212">
        <f t="shared" ref="O9:O57" si="11">100*((1-($O$6/100))/2)*((A9/$L$2)*(A9/$L$2)+(A9/$L$2))</f>
        <v>0.51583999999999997</v>
      </c>
      <c r="P9" s="214">
        <f t="shared" ref="P9:P57" si="12">O9+$O$6</f>
        <v>75.71584</v>
      </c>
      <c r="Q9" s="215"/>
    </row>
    <row r="10" spans="1:17" x14ac:dyDescent="0.2">
      <c r="A10" s="211">
        <v>6</v>
      </c>
      <c r="B10" s="212">
        <f t="shared" ref="B10:B57" si="13">100*((1-($B$6/100))/2)*((A10/$L$2)*(A10/$L$2)+(A10/$L$2))</f>
        <v>3.18</v>
      </c>
      <c r="C10" s="212">
        <f t="shared" si="0"/>
        <v>3.1789824000000002</v>
      </c>
      <c r="D10" s="212">
        <f t="shared" si="1"/>
        <v>3.2109824000000002</v>
      </c>
      <c r="E10" s="212">
        <f t="shared" si="2"/>
        <v>3.0998640000000002</v>
      </c>
      <c r="F10" s="213">
        <f t="shared" si="3"/>
        <v>5.6198639999999997</v>
      </c>
      <c r="G10" s="212">
        <f t="shared" si="4"/>
        <v>2.9227380000000003</v>
      </c>
      <c r="H10" s="213">
        <f t="shared" si="5"/>
        <v>11.012738000000001</v>
      </c>
      <c r="I10" s="212">
        <f t="shared" si="6"/>
        <v>2.6044199999999997</v>
      </c>
      <c r="J10" s="213">
        <f t="shared" si="7"/>
        <v>20.704420000000002</v>
      </c>
      <c r="K10" s="212">
        <f t="shared" si="8"/>
        <v>2.1242399999999999</v>
      </c>
      <c r="L10" s="213">
        <f t="shared" si="9"/>
        <v>35.324240000000003</v>
      </c>
      <c r="M10" s="212">
        <f t="shared" si="10"/>
        <v>1.3165200000000004</v>
      </c>
      <c r="N10" s="213">
        <f t="shared" ref="N10:N57" si="14">M10+$M$6</f>
        <v>59.916519999999998</v>
      </c>
      <c r="O10" s="212">
        <f t="shared" si="11"/>
        <v>0.78864000000000012</v>
      </c>
      <c r="P10" s="214">
        <f t="shared" si="12"/>
        <v>75.988640000000004</v>
      </c>
      <c r="Q10" s="215"/>
    </row>
    <row r="11" spans="1:17" x14ac:dyDescent="0.2">
      <c r="A11" s="211">
        <v>8</v>
      </c>
      <c r="B11" s="212">
        <f t="shared" si="13"/>
        <v>4.32</v>
      </c>
      <c r="C11" s="212">
        <f t="shared" si="0"/>
        <v>4.3186176000000005</v>
      </c>
      <c r="D11" s="212">
        <f t="shared" si="1"/>
        <v>4.3506176000000005</v>
      </c>
      <c r="E11" s="212">
        <f t="shared" si="2"/>
        <v>4.2111360000000007</v>
      </c>
      <c r="F11" s="213">
        <f t="shared" si="3"/>
        <v>6.7311360000000011</v>
      </c>
      <c r="G11" s="212">
        <f t="shared" si="4"/>
        <v>3.9705120000000003</v>
      </c>
      <c r="H11" s="213">
        <f t="shared" si="5"/>
        <v>12.060511999999999</v>
      </c>
      <c r="I11" s="212">
        <f t="shared" si="6"/>
        <v>3.5380799999999999</v>
      </c>
      <c r="J11" s="213">
        <f t="shared" si="7"/>
        <v>21.638080000000002</v>
      </c>
      <c r="K11" s="212">
        <f t="shared" si="8"/>
        <v>2.8857599999999999</v>
      </c>
      <c r="L11" s="213">
        <f t="shared" si="9"/>
        <v>36.085760000000001</v>
      </c>
      <c r="M11" s="212">
        <f t="shared" si="10"/>
        <v>1.7884800000000003</v>
      </c>
      <c r="N11" s="213">
        <f t="shared" si="14"/>
        <v>60.388480000000001</v>
      </c>
      <c r="O11" s="212">
        <f t="shared" si="11"/>
        <v>1.0713600000000001</v>
      </c>
      <c r="P11" s="214">
        <f t="shared" si="12"/>
        <v>76.271360000000001</v>
      </c>
      <c r="Q11" s="215"/>
    </row>
    <row r="12" spans="1:17" x14ac:dyDescent="0.2">
      <c r="A12" s="211">
        <v>10</v>
      </c>
      <c r="B12" s="212">
        <f t="shared" si="13"/>
        <v>5.5000000000000009</v>
      </c>
      <c r="C12" s="212">
        <f t="shared" si="0"/>
        <v>5.4982400000000009</v>
      </c>
      <c r="D12" s="212">
        <f t="shared" si="1"/>
        <v>5.5302400000000009</v>
      </c>
      <c r="E12" s="212">
        <f t="shared" si="2"/>
        <v>5.3614000000000006</v>
      </c>
      <c r="F12" s="213">
        <f t="shared" si="3"/>
        <v>7.8814000000000011</v>
      </c>
      <c r="G12" s="212">
        <f t="shared" si="4"/>
        <v>5.0550500000000005</v>
      </c>
      <c r="H12" s="213">
        <f t="shared" si="5"/>
        <v>13.145050000000001</v>
      </c>
      <c r="I12" s="212">
        <f t="shared" si="6"/>
        <v>4.5045000000000002</v>
      </c>
      <c r="J12" s="213">
        <f t="shared" si="7"/>
        <v>22.604500000000002</v>
      </c>
      <c r="K12" s="212">
        <f t="shared" si="8"/>
        <v>3.6740000000000004</v>
      </c>
      <c r="L12" s="213">
        <f t="shared" si="9"/>
        <v>36.874000000000002</v>
      </c>
      <c r="M12" s="212">
        <f t="shared" si="10"/>
        <v>2.2770000000000006</v>
      </c>
      <c r="N12" s="213">
        <f t="shared" si="14"/>
        <v>60.877000000000002</v>
      </c>
      <c r="O12" s="212">
        <f t="shared" si="11"/>
        <v>1.3640000000000003</v>
      </c>
      <c r="P12" s="214">
        <f t="shared" si="12"/>
        <v>76.564000000000007</v>
      </c>
      <c r="Q12" s="215"/>
    </row>
    <row r="13" spans="1:17" x14ac:dyDescent="0.2">
      <c r="A13" s="211">
        <v>12</v>
      </c>
      <c r="B13" s="212">
        <f t="shared" si="13"/>
        <v>6.72</v>
      </c>
      <c r="C13" s="212">
        <f t="shared" si="0"/>
        <v>6.7178496000000001</v>
      </c>
      <c r="D13" s="212">
        <f t="shared" si="1"/>
        <v>6.7498496000000001</v>
      </c>
      <c r="E13" s="212">
        <f t="shared" si="2"/>
        <v>6.550656</v>
      </c>
      <c r="F13" s="213">
        <f t="shared" si="3"/>
        <v>9.0706559999999996</v>
      </c>
      <c r="G13" s="212">
        <f t="shared" si="4"/>
        <v>6.1763519999999996</v>
      </c>
      <c r="H13" s="213">
        <f t="shared" si="5"/>
        <v>14.266351999999999</v>
      </c>
      <c r="I13" s="212">
        <f t="shared" si="6"/>
        <v>5.5036799999999992</v>
      </c>
      <c r="J13" s="213">
        <f t="shared" si="7"/>
        <v>23.603680000000001</v>
      </c>
      <c r="K13" s="212">
        <f t="shared" si="8"/>
        <v>4.4889599999999996</v>
      </c>
      <c r="L13" s="213">
        <f t="shared" si="9"/>
        <v>37.688960000000002</v>
      </c>
      <c r="M13" s="212">
        <f t="shared" si="10"/>
        <v>2.7820800000000001</v>
      </c>
      <c r="N13" s="213">
        <f t="shared" si="14"/>
        <v>61.382080000000002</v>
      </c>
      <c r="O13" s="212">
        <f t="shared" si="11"/>
        <v>1.66656</v>
      </c>
      <c r="P13" s="214">
        <f t="shared" si="12"/>
        <v>76.866560000000007</v>
      </c>
      <c r="Q13" s="1"/>
    </row>
    <row r="14" spans="1:17" x14ac:dyDescent="0.2">
      <c r="A14" s="211">
        <v>14</v>
      </c>
      <c r="B14" s="212">
        <f t="shared" si="13"/>
        <v>7.9800000000000013</v>
      </c>
      <c r="C14" s="212">
        <f t="shared" si="0"/>
        <v>7.9774464000000016</v>
      </c>
      <c r="D14" s="212">
        <f t="shared" si="1"/>
        <v>8.0094464000000016</v>
      </c>
      <c r="E14" s="212">
        <f t="shared" si="2"/>
        <v>7.7789040000000016</v>
      </c>
      <c r="F14" s="213">
        <f t="shared" si="3"/>
        <v>10.298904000000002</v>
      </c>
      <c r="G14" s="212">
        <f t="shared" si="4"/>
        <v>7.3344180000000003</v>
      </c>
      <c r="H14" s="213">
        <f t="shared" si="5"/>
        <v>15.424417999999999</v>
      </c>
      <c r="I14" s="212">
        <f t="shared" si="6"/>
        <v>6.5356199999999998</v>
      </c>
      <c r="J14" s="213">
        <f t="shared" si="7"/>
        <v>24.635620000000003</v>
      </c>
      <c r="K14" s="212">
        <f t="shared" si="8"/>
        <v>5.3306400000000007</v>
      </c>
      <c r="L14" s="213">
        <f t="shared" si="9"/>
        <v>38.530640000000005</v>
      </c>
      <c r="M14" s="212">
        <f t="shared" si="10"/>
        <v>3.3037200000000007</v>
      </c>
      <c r="N14" s="213">
        <f t="shared" si="14"/>
        <v>61.90372</v>
      </c>
      <c r="O14" s="212">
        <f t="shared" si="11"/>
        <v>1.9790400000000004</v>
      </c>
      <c r="P14" s="214">
        <f t="shared" si="12"/>
        <v>77.179040000000001</v>
      </c>
      <c r="Q14" s="1"/>
    </row>
    <row r="15" spans="1:17" x14ac:dyDescent="0.2">
      <c r="A15" s="211">
        <v>16</v>
      </c>
      <c r="B15" s="212">
        <f t="shared" si="13"/>
        <v>9.2800000000000011</v>
      </c>
      <c r="C15" s="212">
        <f t="shared" si="0"/>
        <v>9.277030400000001</v>
      </c>
      <c r="D15" s="212">
        <f t="shared" si="1"/>
        <v>9.309030400000001</v>
      </c>
      <c r="E15" s="212">
        <f t="shared" si="2"/>
        <v>9.0461440000000017</v>
      </c>
      <c r="F15" s="213">
        <f t="shared" si="3"/>
        <v>11.566144000000001</v>
      </c>
      <c r="G15" s="212">
        <f t="shared" si="4"/>
        <v>8.5292480000000008</v>
      </c>
      <c r="H15" s="213">
        <f t="shared" si="5"/>
        <v>16.619247999999999</v>
      </c>
      <c r="I15" s="212">
        <f t="shared" si="6"/>
        <v>7.60032</v>
      </c>
      <c r="J15" s="213">
        <f t="shared" si="7"/>
        <v>25.700320000000001</v>
      </c>
      <c r="K15" s="212">
        <f t="shared" si="8"/>
        <v>6.1990400000000001</v>
      </c>
      <c r="L15" s="213">
        <f t="shared" si="9"/>
        <v>39.399039999999999</v>
      </c>
      <c r="M15" s="212">
        <f t="shared" si="10"/>
        <v>3.8419200000000009</v>
      </c>
      <c r="N15" s="213">
        <f t="shared" si="14"/>
        <v>62.441920000000003</v>
      </c>
      <c r="O15" s="212">
        <f t="shared" si="11"/>
        <v>2.3014400000000004</v>
      </c>
      <c r="P15" s="214">
        <f t="shared" si="12"/>
        <v>77.501440000000002</v>
      </c>
      <c r="Q15" s="1"/>
    </row>
    <row r="16" spans="1:17" x14ac:dyDescent="0.2">
      <c r="A16" s="211">
        <v>18</v>
      </c>
      <c r="B16" s="212">
        <f t="shared" si="13"/>
        <v>10.62</v>
      </c>
      <c r="C16" s="212">
        <f t="shared" si="0"/>
        <v>10.616601599999999</v>
      </c>
      <c r="D16" s="212">
        <f t="shared" si="1"/>
        <v>10.648601599999999</v>
      </c>
      <c r="E16" s="212">
        <f t="shared" si="2"/>
        <v>10.352376</v>
      </c>
      <c r="F16" s="213">
        <f t="shared" si="3"/>
        <v>12.872375999999999</v>
      </c>
      <c r="G16" s="212">
        <f t="shared" si="4"/>
        <v>9.7608419999999985</v>
      </c>
      <c r="H16" s="213">
        <f t="shared" si="5"/>
        <v>17.850842</v>
      </c>
      <c r="I16" s="212">
        <f t="shared" si="6"/>
        <v>8.6977799999999981</v>
      </c>
      <c r="J16" s="213">
        <f t="shared" si="7"/>
        <v>26.797779999999999</v>
      </c>
      <c r="K16" s="212">
        <f t="shared" si="8"/>
        <v>7.0941599999999987</v>
      </c>
      <c r="L16" s="213">
        <f t="shared" si="9"/>
        <v>40.294160000000005</v>
      </c>
      <c r="M16" s="212">
        <f t="shared" si="10"/>
        <v>4.3966799999999999</v>
      </c>
      <c r="N16" s="213">
        <f t="shared" si="14"/>
        <v>62.996679999999998</v>
      </c>
      <c r="O16" s="212">
        <f t="shared" si="11"/>
        <v>2.6337599999999997</v>
      </c>
      <c r="P16" s="214">
        <f t="shared" si="12"/>
        <v>77.833759999999998</v>
      </c>
      <c r="Q16" s="1"/>
    </row>
    <row r="17" spans="1:17" x14ac:dyDescent="0.2">
      <c r="A17" s="211">
        <v>20</v>
      </c>
      <c r="B17" s="212">
        <f t="shared" si="13"/>
        <v>12.000000000000002</v>
      </c>
      <c r="C17" s="212">
        <f t="shared" si="0"/>
        <v>11.996160000000001</v>
      </c>
      <c r="D17" s="212">
        <f t="shared" si="1"/>
        <v>12.028160000000002</v>
      </c>
      <c r="E17" s="212">
        <f t="shared" si="2"/>
        <v>11.697600000000001</v>
      </c>
      <c r="F17" s="213">
        <f t="shared" si="3"/>
        <v>14.217600000000001</v>
      </c>
      <c r="G17" s="212">
        <f t="shared" si="4"/>
        <v>11.029200000000001</v>
      </c>
      <c r="H17" s="213">
        <f t="shared" si="5"/>
        <v>19.119199999999999</v>
      </c>
      <c r="I17" s="212">
        <f t="shared" si="6"/>
        <v>9.8279999999999994</v>
      </c>
      <c r="J17" s="213">
        <f t="shared" si="7"/>
        <v>27.928000000000001</v>
      </c>
      <c r="K17" s="212">
        <f t="shared" si="8"/>
        <v>8.016</v>
      </c>
      <c r="L17" s="213">
        <f t="shared" si="9"/>
        <v>41.216000000000001</v>
      </c>
      <c r="M17" s="212">
        <f t="shared" si="10"/>
        <v>4.9680000000000009</v>
      </c>
      <c r="N17" s="213">
        <f t="shared" si="14"/>
        <v>63.568000000000005</v>
      </c>
      <c r="O17" s="212">
        <f t="shared" si="11"/>
        <v>2.9760000000000004</v>
      </c>
      <c r="P17" s="214">
        <f t="shared" si="12"/>
        <v>78.176000000000002</v>
      </c>
      <c r="Q17" s="1"/>
    </row>
    <row r="18" spans="1:17" x14ac:dyDescent="0.2">
      <c r="A18" s="211">
        <v>22</v>
      </c>
      <c r="B18" s="212">
        <f t="shared" si="13"/>
        <v>13.419999999999998</v>
      </c>
      <c r="C18" s="212">
        <f t="shared" si="0"/>
        <v>13.415705599999999</v>
      </c>
      <c r="D18" s="212">
        <f t="shared" si="1"/>
        <v>13.447705599999999</v>
      </c>
      <c r="E18" s="212">
        <f t="shared" si="2"/>
        <v>13.081816</v>
      </c>
      <c r="F18" s="213">
        <f t="shared" si="3"/>
        <v>15.601815999999999</v>
      </c>
      <c r="G18" s="212">
        <f t="shared" si="4"/>
        <v>12.334321999999998</v>
      </c>
      <c r="H18" s="213">
        <f t="shared" si="5"/>
        <v>20.424321999999997</v>
      </c>
      <c r="I18" s="212">
        <f t="shared" si="6"/>
        <v>10.990979999999997</v>
      </c>
      <c r="J18" s="213">
        <f t="shared" si="7"/>
        <v>29.090979999999998</v>
      </c>
      <c r="K18" s="212">
        <f t="shared" si="8"/>
        <v>8.9645599999999988</v>
      </c>
      <c r="L18" s="213">
        <f t="shared" si="9"/>
        <v>42.164560000000002</v>
      </c>
      <c r="M18" s="212">
        <f t="shared" si="10"/>
        <v>5.5558800000000002</v>
      </c>
      <c r="N18" s="213">
        <f t="shared" si="14"/>
        <v>64.155879999999996</v>
      </c>
      <c r="O18" s="212">
        <f t="shared" si="11"/>
        <v>3.3281599999999996</v>
      </c>
      <c r="P18" s="214">
        <f t="shared" si="12"/>
        <v>78.52816</v>
      </c>
      <c r="Q18" s="1"/>
    </row>
    <row r="19" spans="1:17" x14ac:dyDescent="0.2">
      <c r="A19" s="211">
        <v>24</v>
      </c>
      <c r="B19" s="212">
        <f t="shared" si="13"/>
        <v>14.879999999999999</v>
      </c>
      <c r="C19" s="212">
        <f t="shared" si="0"/>
        <v>14.875238399999999</v>
      </c>
      <c r="D19" s="212">
        <f t="shared" si="1"/>
        <v>14.907238399999999</v>
      </c>
      <c r="E19" s="212">
        <f t="shared" si="2"/>
        <v>14.505023999999999</v>
      </c>
      <c r="F19" s="213">
        <f t="shared" si="3"/>
        <v>17.025023999999998</v>
      </c>
      <c r="G19" s="212">
        <f t="shared" si="4"/>
        <v>13.676207999999999</v>
      </c>
      <c r="H19" s="213">
        <f t="shared" si="5"/>
        <v>21.766207999999999</v>
      </c>
      <c r="I19" s="212">
        <f t="shared" si="6"/>
        <v>12.186719999999998</v>
      </c>
      <c r="J19" s="213">
        <f t="shared" si="7"/>
        <v>30.286719999999999</v>
      </c>
      <c r="K19" s="212">
        <f t="shared" si="8"/>
        <v>9.9398399999999985</v>
      </c>
      <c r="L19" s="213">
        <f t="shared" si="9"/>
        <v>43.13984</v>
      </c>
      <c r="M19" s="212">
        <f t="shared" si="10"/>
        <v>6.1603200000000005</v>
      </c>
      <c r="N19" s="213">
        <f t="shared" si="14"/>
        <v>64.760320000000007</v>
      </c>
      <c r="O19" s="212">
        <f t="shared" si="11"/>
        <v>3.6902399999999997</v>
      </c>
      <c r="P19" s="214">
        <f t="shared" si="12"/>
        <v>78.890240000000006</v>
      </c>
      <c r="Q19" s="1"/>
    </row>
    <row r="20" spans="1:17" x14ac:dyDescent="0.2">
      <c r="A20" s="211">
        <v>26</v>
      </c>
      <c r="B20" s="212">
        <f t="shared" si="13"/>
        <v>16.38</v>
      </c>
      <c r="C20" s="212">
        <f t="shared" si="0"/>
        <v>16.374758400000001</v>
      </c>
      <c r="D20" s="212">
        <f t="shared" si="1"/>
        <v>16.406758400000001</v>
      </c>
      <c r="E20" s="212">
        <f t="shared" si="2"/>
        <v>15.967224000000002</v>
      </c>
      <c r="F20" s="213">
        <f t="shared" si="3"/>
        <v>18.487224000000001</v>
      </c>
      <c r="G20" s="212">
        <f t="shared" si="4"/>
        <v>15.054857999999999</v>
      </c>
      <c r="H20" s="213">
        <f t="shared" si="5"/>
        <v>23.144857999999999</v>
      </c>
      <c r="I20" s="212">
        <f t="shared" si="6"/>
        <v>13.415219999999998</v>
      </c>
      <c r="J20" s="213">
        <f t="shared" si="7"/>
        <v>31.515219999999999</v>
      </c>
      <c r="K20" s="212">
        <f t="shared" si="8"/>
        <v>10.941839999999999</v>
      </c>
      <c r="L20" s="213">
        <f t="shared" si="9"/>
        <v>44.141840000000002</v>
      </c>
      <c r="M20" s="212">
        <f t="shared" si="10"/>
        <v>6.7813200000000009</v>
      </c>
      <c r="N20" s="213">
        <f t="shared" si="14"/>
        <v>65.381320000000002</v>
      </c>
      <c r="O20" s="212">
        <f t="shared" si="11"/>
        <v>4.0622400000000001</v>
      </c>
      <c r="P20" s="214">
        <f t="shared" si="12"/>
        <v>79.262240000000006</v>
      </c>
      <c r="Q20" s="1"/>
    </row>
    <row r="21" spans="1:17" x14ac:dyDescent="0.2">
      <c r="A21" s="211">
        <v>28</v>
      </c>
      <c r="B21" s="212">
        <f t="shared" si="13"/>
        <v>17.920000000000002</v>
      </c>
      <c r="C21" s="212">
        <f t="shared" si="0"/>
        <v>17.914265600000004</v>
      </c>
      <c r="D21" s="212">
        <f t="shared" si="1"/>
        <v>17.946265600000004</v>
      </c>
      <c r="E21" s="212">
        <f t="shared" si="2"/>
        <v>17.468416000000005</v>
      </c>
      <c r="F21" s="213">
        <f t="shared" si="3"/>
        <v>19.988416000000004</v>
      </c>
      <c r="G21" s="212">
        <f t="shared" si="4"/>
        <v>16.470272000000001</v>
      </c>
      <c r="H21" s="213">
        <f t="shared" si="5"/>
        <v>24.560272000000001</v>
      </c>
      <c r="I21" s="212">
        <f t="shared" si="6"/>
        <v>14.67648</v>
      </c>
      <c r="J21" s="213">
        <f t="shared" si="7"/>
        <v>32.776479999999999</v>
      </c>
      <c r="K21" s="212">
        <f t="shared" si="8"/>
        <v>11.970560000000001</v>
      </c>
      <c r="L21" s="213">
        <f t="shared" si="9"/>
        <v>45.170560000000002</v>
      </c>
      <c r="M21" s="212">
        <f t="shared" si="10"/>
        <v>7.4188800000000024</v>
      </c>
      <c r="N21" s="213">
        <f t="shared" si="14"/>
        <v>66.01888000000001</v>
      </c>
      <c r="O21" s="212">
        <f t="shared" si="11"/>
        <v>4.444160000000001</v>
      </c>
      <c r="P21" s="214">
        <f t="shared" si="12"/>
        <v>79.644159999999999</v>
      </c>
      <c r="Q21" s="1"/>
    </row>
    <row r="22" spans="1:17" x14ac:dyDescent="0.2">
      <c r="A22" s="211">
        <v>30</v>
      </c>
      <c r="B22" s="212">
        <f t="shared" si="13"/>
        <v>19.5</v>
      </c>
      <c r="C22" s="212">
        <f t="shared" si="0"/>
        <v>19.493760000000002</v>
      </c>
      <c r="D22" s="212">
        <f t="shared" si="1"/>
        <v>19.525760000000002</v>
      </c>
      <c r="E22" s="212">
        <f t="shared" si="2"/>
        <v>19.008600000000001</v>
      </c>
      <c r="F22" s="213">
        <f t="shared" si="3"/>
        <v>21.528600000000001</v>
      </c>
      <c r="G22" s="212">
        <f t="shared" si="4"/>
        <v>17.922450000000001</v>
      </c>
      <c r="H22" s="213">
        <f t="shared" si="5"/>
        <v>26.012450000000001</v>
      </c>
      <c r="I22" s="212">
        <f t="shared" si="6"/>
        <v>15.970499999999999</v>
      </c>
      <c r="J22" s="213">
        <f t="shared" si="7"/>
        <v>34.070500000000003</v>
      </c>
      <c r="K22" s="212">
        <f t="shared" si="8"/>
        <v>13.026</v>
      </c>
      <c r="L22" s="213">
        <f t="shared" si="9"/>
        <v>46.225999999999999</v>
      </c>
      <c r="M22" s="212">
        <f t="shared" si="10"/>
        <v>8.0730000000000022</v>
      </c>
      <c r="N22" s="213">
        <f t="shared" si="14"/>
        <v>66.673000000000002</v>
      </c>
      <c r="O22" s="212">
        <f t="shared" si="11"/>
        <v>4.8360000000000003</v>
      </c>
      <c r="P22" s="214">
        <f t="shared" si="12"/>
        <v>80.036000000000001</v>
      </c>
      <c r="Q22" s="1"/>
    </row>
    <row r="23" spans="1:17" x14ac:dyDescent="0.2">
      <c r="A23" s="211">
        <v>32</v>
      </c>
      <c r="B23" s="212">
        <f t="shared" si="13"/>
        <v>21.12</v>
      </c>
      <c r="C23" s="212">
        <f t="shared" si="0"/>
        <v>21.113241600000002</v>
      </c>
      <c r="D23" s="212">
        <f t="shared" si="1"/>
        <v>21.145241600000002</v>
      </c>
      <c r="E23" s="212">
        <f t="shared" si="2"/>
        <v>20.587776000000002</v>
      </c>
      <c r="F23" s="213">
        <f t="shared" si="3"/>
        <v>23.107776000000001</v>
      </c>
      <c r="G23" s="212">
        <f t="shared" si="4"/>
        <v>19.411391999999999</v>
      </c>
      <c r="H23" s="213">
        <f t="shared" si="5"/>
        <v>27.501391999999999</v>
      </c>
      <c r="I23" s="212">
        <f t="shared" si="6"/>
        <v>17.297279999999997</v>
      </c>
      <c r="J23" s="213">
        <f t="shared" si="7"/>
        <v>35.397279999999995</v>
      </c>
      <c r="K23" s="212">
        <f t="shared" si="8"/>
        <v>14.10816</v>
      </c>
      <c r="L23" s="213">
        <f t="shared" si="9"/>
        <v>47.308160000000001</v>
      </c>
      <c r="M23" s="212">
        <f t="shared" si="10"/>
        <v>8.7436800000000012</v>
      </c>
      <c r="N23" s="213">
        <f t="shared" si="14"/>
        <v>67.343680000000006</v>
      </c>
      <c r="O23" s="212">
        <f t="shared" si="11"/>
        <v>5.2377599999999997</v>
      </c>
      <c r="P23" s="214">
        <f t="shared" si="12"/>
        <v>80.437759999999997</v>
      </c>
      <c r="Q23" s="1"/>
    </row>
    <row r="24" spans="1:17" x14ac:dyDescent="0.2">
      <c r="A24" s="211">
        <v>34</v>
      </c>
      <c r="B24" s="212">
        <f t="shared" si="13"/>
        <v>22.780000000000005</v>
      </c>
      <c r="C24" s="212">
        <f t="shared" si="0"/>
        <v>22.772710400000005</v>
      </c>
      <c r="D24" s="212">
        <f t="shared" si="1"/>
        <v>22.804710400000005</v>
      </c>
      <c r="E24" s="212">
        <f t="shared" si="2"/>
        <v>22.205944000000002</v>
      </c>
      <c r="F24" s="213">
        <f t="shared" si="3"/>
        <v>24.725944000000002</v>
      </c>
      <c r="G24" s="212">
        <f t="shared" si="4"/>
        <v>20.937098000000002</v>
      </c>
      <c r="H24" s="213">
        <f t="shared" si="5"/>
        <v>29.027098000000002</v>
      </c>
      <c r="I24" s="212">
        <f t="shared" si="6"/>
        <v>18.65682</v>
      </c>
      <c r="J24" s="213">
        <f t="shared" si="7"/>
        <v>36.756820000000005</v>
      </c>
      <c r="K24" s="212">
        <f t="shared" si="8"/>
        <v>15.217040000000001</v>
      </c>
      <c r="L24" s="213">
        <f t="shared" si="9"/>
        <v>48.41704</v>
      </c>
      <c r="M24" s="212">
        <f t="shared" si="10"/>
        <v>9.4309200000000022</v>
      </c>
      <c r="N24" s="213">
        <f t="shared" si="14"/>
        <v>68.030920000000009</v>
      </c>
      <c r="O24" s="212">
        <f t="shared" si="11"/>
        <v>5.6494400000000011</v>
      </c>
      <c r="P24" s="214">
        <f t="shared" si="12"/>
        <v>80.849440000000001</v>
      </c>
      <c r="Q24" s="1"/>
    </row>
    <row r="25" spans="1:17" x14ac:dyDescent="0.2">
      <c r="A25" s="211">
        <v>36</v>
      </c>
      <c r="B25" s="212">
        <f t="shared" si="13"/>
        <v>24.48</v>
      </c>
      <c r="C25" s="212">
        <f t="shared" si="0"/>
        <v>24.472166399999999</v>
      </c>
      <c r="D25" s="212">
        <f t="shared" si="1"/>
        <v>24.504166399999999</v>
      </c>
      <c r="E25" s="212">
        <f t="shared" si="2"/>
        <v>23.863104</v>
      </c>
      <c r="F25" s="213">
        <f t="shared" si="3"/>
        <v>26.383103999999999</v>
      </c>
      <c r="G25" s="212">
        <f t="shared" si="4"/>
        <v>22.499567999999996</v>
      </c>
      <c r="H25" s="213">
        <f t="shared" si="5"/>
        <v>30.589567999999996</v>
      </c>
      <c r="I25" s="212">
        <f t="shared" si="6"/>
        <v>20.049119999999998</v>
      </c>
      <c r="J25" s="213">
        <f t="shared" si="7"/>
        <v>38.149119999999996</v>
      </c>
      <c r="K25" s="212">
        <f t="shared" si="8"/>
        <v>16.352639999999997</v>
      </c>
      <c r="L25" s="213">
        <f t="shared" si="9"/>
        <v>49.552639999999997</v>
      </c>
      <c r="M25" s="212">
        <f t="shared" si="10"/>
        <v>10.134720000000002</v>
      </c>
      <c r="N25" s="213">
        <f t="shared" si="14"/>
        <v>68.73472000000001</v>
      </c>
      <c r="O25" s="212">
        <f t="shared" si="11"/>
        <v>6.07104</v>
      </c>
      <c r="P25" s="214">
        <f t="shared" si="12"/>
        <v>81.271039999999999</v>
      </c>
      <c r="Q25" s="1"/>
    </row>
    <row r="26" spans="1:17" x14ac:dyDescent="0.2">
      <c r="A26" s="211">
        <v>38</v>
      </c>
      <c r="B26" s="212">
        <f t="shared" si="13"/>
        <v>26.22</v>
      </c>
      <c r="C26" s="212">
        <f t="shared" si="0"/>
        <v>26.211609599999999</v>
      </c>
      <c r="D26" s="212">
        <f t="shared" si="1"/>
        <v>26.243609599999999</v>
      </c>
      <c r="E26" s="212">
        <f t="shared" si="2"/>
        <v>25.559256000000001</v>
      </c>
      <c r="F26" s="213">
        <f t="shared" si="3"/>
        <v>28.079256000000001</v>
      </c>
      <c r="G26" s="212">
        <f t="shared" si="4"/>
        <v>24.098801999999999</v>
      </c>
      <c r="H26" s="213">
        <f t="shared" si="5"/>
        <v>32.188801999999995</v>
      </c>
      <c r="I26" s="212">
        <f t="shared" si="6"/>
        <v>21.474179999999997</v>
      </c>
      <c r="J26" s="213">
        <f t="shared" si="7"/>
        <v>39.574179999999998</v>
      </c>
      <c r="K26" s="212">
        <f t="shared" si="8"/>
        <v>17.514959999999999</v>
      </c>
      <c r="L26" s="213">
        <f t="shared" si="9"/>
        <v>50.714960000000005</v>
      </c>
      <c r="M26" s="212">
        <f t="shared" si="10"/>
        <v>10.855080000000001</v>
      </c>
      <c r="N26" s="213">
        <f t="shared" si="14"/>
        <v>69.455080000000009</v>
      </c>
      <c r="O26" s="212">
        <f t="shared" si="11"/>
        <v>6.5025599999999999</v>
      </c>
      <c r="P26" s="214">
        <f t="shared" si="12"/>
        <v>81.702560000000005</v>
      </c>
      <c r="Q26" s="1"/>
    </row>
    <row r="27" spans="1:17" x14ac:dyDescent="0.2">
      <c r="A27" s="211">
        <v>40</v>
      </c>
      <c r="B27" s="212">
        <f t="shared" si="13"/>
        <v>28.000000000000004</v>
      </c>
      <c r="C27" s="212">
        <f t="shared" si="0"/>
        <v>27.991040000000005</v>
      </c>
      <c r="D27" s="212">
        <f t="shared" si="1"/>
        <v>28.023040000000005</v>
      </c>
      <c r="E27" s="212">
        <f t="shared" si="2"/>
        <v>27.294400000000003</v>
      </c>
      <c r="F27" s="213">
        <f t="shared" si="3"/>
        <v>29.814400000000003</v>
      </c>
      <c r="G27" s="212">
        <f t="shared" si="4"/>
        <v>25.7348</v>
      </c>
      <c r="H27" s="213">
        <f t="shared" si="5"/>
        <v>33.824799999999996</v>
      </c>
      <c r="I27" s="212">
        <f t="shared" si="6"/>
        <v>22.931999999999999</v>
      </c>
      <c r="J27" s="213">
        <f t="shared" si="7"/>
        <v>41.031999999999996</v>
      </c>
      <c r="K27" s="212">
        <f t="shared" si="8"/>
        <v>18.704000000000001</v>
      </c>
      <c r="L27" s="213">
        <f t="shared" si="9"/>
        <v>51.904000000000003</v>
      </c>
      <c r="M27" s="212">
        <f t="shared" si="10"/>
        <v>11.592000000000002</v>
      </c>
      <c r="N27" s="213">
        <f t="shared" si="14"/>
        <v>70.192000000000007</v>
      </c>
      <c r="O27" s="212">
        <f t="shared" si="11"/>
        <v>6.9440000000000008</v>
      </c>
      <c r="P27" s="214">
        <f t="shared" si="12"/>
        <v>82.144000000000005</v>
      </c>
      <c r="Q27" s="1"/>
    </row>
    <row r="28" spans="1:17" x14ac:dyDescent="0.2">
      <c r="A28" s="211">
        <v>42</v>
      </c>
      <c r="B28" s="212">
        <f t="shared" si="13"/>
        <v>29.819999999999997</v>
      </c>
      <c r="C28" s="212">
        <f t="shared" si="0"/>
        <v>29.810457599999996</v>
      </c>
      <c r="D28" s="212">
        <f t="shared" si="1"/>
        <v>29.842457599999996</v>
      </c>
      <c r="E28" s="212">
        <f t="shared" si="2"/>
        <v>29.068535999999998</v>
      </c>
      <c r="F28" s="213">
        <f t="shared" si="3"/>
        <v>31.588535999999998</v>
      </c>
      <c r="G28" s="212">
        <f t="shared" si="4"/>
        <v>27.407561999999995</v>
      </c>
      <c r="H28" s="213">
        <f t="shared" si="5"/>
        <v>35.497561999999995</v>
      </c>
      <c r="I28" s="212">
        <f t="shared" si="6"/>
        <v>24.422579999999993</v>
      </c>
      <c r="J28" s="213">
        <f t="shared" si="7"/>
        <v>42.522579999999991</v>
      </c>
      <c r="K28" s="212">
        <f t="shared" si="8"/>
        <v>19.919759999999997</v>
      </c>
      <c r="L28" s="213">
        <f t="shared" si="9"/>
        <v>53.119759999999999</v>
      </c>
      <c r="M28" s="212">
        <f t="shared" si="10"/>
        <v>12.34548</v>
      </c>
      <c r="N28" s="213">
        <f t="shared" si="14"/>
        <v>70.945480000000003</v>
      </c>
      <c r="O28" s="212">
        <f t="shared" si="11"/>
        <v>7.3953599999999993</v>
      </c>
      <c r="P28" s="214">
        <f t="shared" si="12"/>
        <v>82.595359999999999</v>
      </c>
      <c r="Q28" s="1"/>
    </row>
    <row r="29" spans="1:17" x14ac:dyDescent="0.2">
      <c r="A29" s="211">
        <v>44</v>
      </c>
      <c r="B29" s="212">
        <f t="shared" si="13"/>
        <v>31.679999999999996</v>
      </c>
      <c r="C29" s="212">
        <f t="shared" si="0"/>
        <v>31.6698624</v>
      </c>
      <c r="D29" s="212">
        <f t="shared" si="1"/>
        <v>31.7018624</v>
      </c>
      <c r="E29" s="212">
        <f t="shared" si="2"/>
        <v>30.881663999999997</v>
      </c>
      <c r="F29" s="213">
        <f t="shared" si="3"/>
        <v>33.401663999999997</v>
      </c>
      <c r="G29" s="212">
        <f t="shared" si="4"/>
        <v>29.117087999999995</v>
      </c>
      <c r="H29" s="213">
        <f t="shared" si="5"/>
        <v>37.207087999999999</v>
      </c>
      <c r="I29" s="212">
        <f t="shared" si="6"/>
        <v>25.945919999999994</v>
      </c>
      <c r="J29" s="213">
        <f t="shared" si="7"/>
        <v>44.045919999999995</v>
      </c>
      <c r="K29" s="212">
        <f t="shared" si="8"/>
        <v>21.162239999999997</v>
      </c>
      <c r="L29" s="213">
        <f t="shared" si="9"/>
        <v>54.36224</v>
      </c>
      <c r="M29" s="212">
        <f t="shared" si="10"/>
        <v>13.11552</v>
      </c>
      <c r="N29" s="213">
        <f t="shared" si="14"/>
        <v>71.715519999999998</v>
      </c>
      <c r="O29" s="212">
        <f t="shared" si="11"/>
        <v>7.8566399999999996</v>
      </c>
      <c r="P29" s="214">
        <f t="shared" si="12"/>
        <v>83.056640000000002</v>
      </c>
      <c r="Q29" s="1"/>
    </row>
    <row r="30" spans="1:17" x14ac:dyDescent="0.2">
      <c r="A30" s="211">
        <v>46</v>
      </c>
      <c r="B30" s="212">
        <f t="shared" si="13"/>
        <v>33.58</v>
      </c>
      <c r="C30" s="212">
        <f t="shared" si="0"/>
        <v>33.569254399999998</v>
      </c>
      <c r="D30" s="212">
        <f t="shared" si="1"/>
        <v>33.601254399999995</v>
      </c>
      <c r="E30" s="212">
        <f t="shared" si="2"/>
        <v>32.733784</v>
      </c>
      <c r="F30" s="213">
        <f t="shared" si="3"/>
        <v>35.253784000000003</v>
      </c>
      <c r="G30" s="212">
        <f t="shared" si="4"/>
        <v>30.863377999999997</v>
      </c>
      <c r="H30" s="213">
        <f t="shared" si="5"/>
        <v>38.953378000000001</v>
      </c>
      <c r="I30" s="212">
        <f t="shared" si="6"/>
        <v>27.502019999999995</v>
      </c>
      <c r="J30" s="213">
        <f t="shared" si="7"/>
        <v>45.602019999999996</v>
      </c>
      <c r="K30" s="212">
        <f t="shared" si="8"/>
        <v>22.431439999999998</v>
      </c>
      <c r="L30" s="213">
        <f t="shared" si="9"/>
        <v>55.631439999999998</v>
      </c>
      <c r="M30" s="212">
        <f t="shared" si="10"/>
        <v>13.902120000000002</v>
      </c>
      <c r="N30" s="213">
        <f t="shared" si="14"/>
        <v>72.502120000000005</v>
      </c>
      <c r="O30" s="212">
        <f t="shared" si="11"/>
        <v>8.3278400000000001</v>
      </c>
      <c r="P30" s="214">
        <f t="shared" si="12"/>
        <v>83.527839999999998</v>
      </c>
      <c r="Q30" s="1"/>
    </row>
    <row r="31" spans="1:17" x14ac:dyDescent="0.2">
      <c r="A31" s="211">
        <v>48</v>
      </c>
      <c r="B31" s="212">
        <f t="shared" si="13"/>
        <v>35.519999999999996</v>
      </c>
      <c r="C31" s="212">
        <f t="shared" si="0"/>
        <v>35.508633599999996</v>
      </c>
      <c r="D31" s="212">
        <f t="shared" si="1"/>
        <v>35.540633599999992</v>
      </c>
      <c r="E31" s="212">
        <f t="shared" si="2"/>
        <v>34.624896</v>
      </c>
      <c r="F31" s="213">
        <f t="shared" si="3"/>
        <v>37.144896000000003</v>
      </c>
      <c r="G31" s="212">
        <f t="shared" si="4"/>
        <v>32.646431999999997</v>
      </c>
      <c r="H31" s="213">
        <f t="shared" si="5"/>
        <v>40.736431999999994</v>
      </c>
      <c r="I31" s="212">
        <f t="shared" si="6"/>
        <v>29.090879999999995</v>
      </c>
      <c r="J31" s="213">
        <f t="shared" si="7"/>
        <v>47.190879999999993</v>
      </c>
      <c r="K31" s="212">
        <f t="shared" si="8"/>
        <v>23.727359999999997</v>
      </c>
      <c r="L31" s="213">
        <f t="shared" si="9"/>
        <v>56.92736</v>
      </c>
      <c r="M31" s="212">
        <f t="shared" si="10"/>
        <v>14.70528</v>
      </c>
      <c r="N31" s="213">
        <f t="shared" si="14"/>
        <v>73.305279999999996</v>
      </c>
      <c r="O31" s="212">
        <f t="shared" si="11"/>
        <v>8.808959999999999</v>
      </c>
      <c r="P31" s="214">
        <f t="shared" si="12"/>
        <v>84.008960000000002</v>
      </c>
      <c r="Q31" s="1"/>
    </row>
    <row r="32" spans="1:17" x14ac:dyDescent="0.2">
      <c r="A32" s="211">
        <v>50</v>
      </c>
      <c r="B32" s="212">
        <f t="shared" si="13"/>
        <v>37.5</v>
      </c>
      <c r="C32" s="212">
        <f t="shared" si="0"/>
        <v>37.488</v>
      </c>
      <c r="D32" s="212">
        <f t="shared" si="1"/>
        <v>37.519999999999996</v>
      </c>
      <c r="E32" s="212">
        <f t="shared" si="2"/>
        <v>36.555</v>
      </c>
      <c r="F32" s="213">
        <f t="shared" si="3"/>
        <v>39.075000000000003</v>
      </c>
      <c r="G32" s="212">
        <f t="shared" si="4"/>
        <v>34.466250000000002</v>
      </c>
      <c r="H32" s="213">
        <f t="shared" si="5"/>
        <v>42.556250000000006</v>
      </c>
      <c r="I32" s="212">
        <f t="shared" si="6"/>
        <v>30.712499999999999</v>
      </c>
      <c r="J32" s="213">
        <f t="shared" si="7"/>
        <v>48.8125</v>
      </c>
      <c r="K32" s="212">
        <f t="shared" si="8"/>
        <v>25.049999999999997</v>
      </c>
      <c r="L32" s="213">
        <f t="shared" si="9"/>
        <v>58.25</v>
      </c>
      <c r="M32" s="212">
        <f t="shared" si="10"/>
        <v>15.525000000000002</v>
      </c>
      <c r="N32" s="213">
        <f t="shared" si="14"/>
        <v>74.125</v>
      </c>
      <c r="O32" s="212">
        <f t="shared" si="11"/>
        <v>9.3000000000000007</v>
      </c>
      <c r="P32" s="214">
        <f t="shared" si="12"/>
        <v>84.5</v>
      </c>
      <c r="Q32" s="1"/>
    </row>
    <row r="33" spans="1:17" x14ac:dyDescent="0.2">
      <c r="A33" s="211">
        <v>52</v>
      </c>
      <c r="B33" s="212">
        <f t="shared" si="13"/>
        <v>39.519999999999996</v>
      </c>
      <c r="C33" s="212">
        <f t="shared" si="0"/>
        <v>39.507353600000002</v>
      </c>
      <c r="D33" s="212">
        <f t="shared" si="1"/>
        <v>39.539353599999998</v>
      </c>
      <c r="E33" s="212">
        <f t="shared" si="2"/>
        <v>38.524096</v>
      </c>
      <c r="F33" s="213">
        <f t="shared" si="3"/>
        <v>41.044096000000003</v>
      </c>
      <c r="G33" s="212">
        <f t="shared" si="4"/>
        <v>36.322831999999998</v>
      </c>
      <c r="H33" s="213">
        <f t="shared" si="5"/>
        <v>44.412831999999995</v>
      </c>
      <c r="I33" s="212">
        <f t="shared" si="6"/>
        <v>32.366879999999995</v>
      </c>
      <c r="J33" s="213">
        <f t="shared" si="7"/>
        <v>50.466879999999996</v>
      </c>
      <c r="K33" s="212">
        <f t="shared" si="8"/>
        <v>26.399359999999998</v>
      </c>
      <c r="L33" s="213">
        <f t="shared" si="9"/>
        <v>59.599360000000004</v>
      </c>
      <c r="M33" s="212">
        <f t="shared" si="10"/>
        <v>16.361280000000001</v>
      </c>
      <c r="N33" s="213">
        <f t="shared" si="14"/>
        <v>74.961280000000002</v>
      </c>
      <c r="O33" s="212">
        <f t="shared" si="11"/>
        <v>9.8009599999999999</v>
      </c>
      <c r="P33" s="214">
        <f t="shared" si="12"/>
        <v>85.000960000000006</v>
      </c>
      <c r="Q33" s="1"/>
    </row>
    <row r="34" spans="1:17" x14ac:dyDescent="0.2">
      <c r="A34" s="211">
        <v>54</v>
      </c>
      <c r="B34" s="212">
        <f t="shared" si="13"/>
        <v>41.580000000000005</v>
      </c>
      <c r="C34" s="212">
        <f t="shared" si="0"/>
        <v>41.56669440000001</v>
      </c>
      <c r="D34" s="212">
        <f t="shared" si="1"/>
        <v>41.598694400000007</v>
      </c>
      <c r="E34" s="212">
        <f t="shared" si="2"/>
        <v>40.532184000000008</v>
      </c>
      <c r="F34" s="213">
        <f t="shared" si="3"/>
        <v>43.052184000000011</v>
      </c>
      <c r="G34" s="212">
        <f t="shared" si="4"/>
        <v>38.216178000000006</v>
      </c>
      <c r="H34" s="213">
        <f t="shared" si="5"/>
        <v>46.306178000000003</v>
      </c>
      <c r="I34" s="212">
        <f t="shared" si="6"/>
        <v>34.054020000000001</v>
      </c>
      <c r="J34" s="213">
        <f t="shared" si="7"/>
        <v>52.154020000000003</v>
      </c>
      <c r="K34" s="212">
        <f t="shared" si="8"/>
        <v>27.775440000000003</v>
      </c>
      <c r="L34" s="213">
        <f t="shared" si="9"/>
        <v>60.975440000000006</v>
      </c>
      <c r="M34" s="212">
        <f t="shared" si="10"/>
        <v>17.214120000000005</v>
      </c>
      <c r="N34" s="213">
        <f t="shared" si="14"/>
        <v>75.814120000000003</v>
      </c>
      <c r="O34" s="212">
        <f t="shared" si="11"/>
        <v>10.311840000000002</v>
      </c>
      <c r="P34" s="214">
        <f t="shared" si="12"/>
        <v>85.511840000000007</v>
      </c>
      <c r="Q34" s="1"/>
    </row>
    <row r="35" spans="1:17" x14ac:dyDescent="0.2">
      <c r="A35" s="211">
        <v>56</v>
      </c>
      <c r="B35" s="212">
        <f t="shared" si="13"/>
        <v>43.680000000000007</v>
      </c>
      <c r="C35" s="212">
        <f t="shared" si="0"/>
        <v>43.66602240000001</v>
      </c>
      <c r="D35" s="212">
        <f t="shared" si="1"/>
        <v>43.698022400000006</v>
      </c>
      <c r="E35" s="212">
        <f t="shared" si="2"/>
        <v>42.579264000000009</v>
      </c>
      <c r="F35" s="213">
        <f t="shared" si="3"/>
        <v>45.099264000000012</v>
      </c>
      <c r="G35" s="212">
        <f t="shared" si="4"/>
        <v>40.146288000000006</v>
      </c>
      <c r="H35" s="213">
        <f t="shared" si="5"/>
        <v>48.236288000000002</v>
      </c>
      <c r="I35" s="212">
        <f t="shared" si="6"/>
        <v>35.773920000000004</v>
      </c>
      <c r="J35" s="213">
        <f t="shared" si="7"/>
        <v>53.873920000000005</v>
      </c>
      <c r="K35" s="212">
        <f t="shared" si="8"/>
        <v>29.178240000000002</v>
      </c>
      <c r="L35" s="213">
        <f t="shared" si="9"/>
        <v>62.378240000000005</v>
      </c>
      <c r="M35" s="212">
        <f t="shared" si="10"/>
        <v>18.083520000000007</v>
      </c>
      <c r="N35" s="213">
        <f t="shared" si="14"/>
        <v>76.683520000000016</v>
      </c>
      <c r="O35" s="212">
        <f t="shared" si="11"/>
        <v>10.832640000000001</v>
      </c>
      <c r="P35" s="214">
        <f t="shared" si="12"/>
        <v>86.032640000000001</v>
      </c>
      <c r="Q35" s="1"/>
    </row>
    <row r="36" spans="1:17" x14ac:dyDescent="0.2">
      <c r="A36" s="211">
        <v>58</v>
      </c>
      <c r="B36" s="212">
        <f t="shared" si="13"/>
        <v>45.819999999999993</v>
      </c>
      <c r="C36" s="212">
        <f t="shared" si="0"/>
        <v>45.805337599999994</v>
      </c>
      <c r="D36" s="212">
        <f t="shared" si="1"/>
        <v>45.837337599999991</v>
      </c>
      <c r="E36" s="212">
        <f t="shared" si="2"/>
        <v>44.665335999999996</v>
      </c>
      <c r="F36" s="213">
        <f t="shared" si="3"/>
        <v>47.185336</v>
      </c>
      <c r="G36" s="212">
        <f t="shared" si="4"/>
        <v>42.113161999999996</v>
      </c>
      <c r="H36" s="213">
        <f t="shared" si="5"/>
        <v>50.203161999999992</v>
      </c>
      <c r="I36" s="212">
        <f t="shared" si="6"/>
        <v>37.526579999999989</v>
      </c>
      <c r="J36" s="213">
        <f t="shared" si="7"/>
        <v>55.62657999999999</v>
      </c>
      <c r="K36" s="212">
        <f t="shared" si="8"/>
        <v>30.607759999999995</v>
      </c>
      <c r="L36" s="213">
        <f t="shared" si="9"/>
        <v>63.807760000000002</v>
      </c>
      <c r="M36" s="212">
        <f t="shared" si="10"/>
        <v>18.969480000000001</v>
      </c>
      <c r="N36" s="213">
        <f t="shared" si="14"/>
        <v>77.569479999999999</v>
      </c>
      <c r="O36" s="212">
        <f t="shared" si="11"/>
        <v>11.363359999999998</v>
      </c>
      <c r="P36" s="214">
        <f t="shared" si="12"/>
        <v>86.563360000000003</v>
      </c>
      <c r="Q36" s="1"/>
    </row>
    <row r="37" spans="1:17" x14ac:dyDescent="0.2">
      <c r="A37" s="211">
        <v>60</v>
      </c>
      <c r="B37" s="212">
        <f t="shared" si="13"/>
        <v>48</v>
      </c>
      <c r="C37" s="212">
        <f t="shared" si="0"/>
        <v>47.984639999999999</v>
      </c>
      <c r="D37" s="212">
        <f t="shared" si="1"/>
        <v>48.016639999999995</v>
      </c>
      <c r="E37" s="212">
        <f t="shared" si="2"/>
        <v>46.790399999999998</v>
      </c>
      <c r="F37" s="213">
        <f t="shared" si="3"/>
        <v>49.310400000000001</v>
      </c>
      <c r="G37" s="212">
        <f t="shared" si="4"/>
        <v>44.116799999999998</v>
      </c>
      <c r="H37" s="213">
        <f t="shared" si="5"/>
        <v>52.206800000000001</v>
      </c>
      <c r="I37" s="212">
        <f t="shared" si="6"/>
        <v>39.311999999999998</v>
      </c>
      <c r="J37" s="213">
        <f t="shared" si="7"/>
        <v>57.411999999999999</v>
      </c>
      <c r="K37" s="212">
        <f t="shared" si="8"/>
        <v>32.064</v>
      </c>
      <c r="L37" s="213">
        <f t="shared" si="9"/>
        <v>65.26400000000001</v>
      </c>
      <c r="M37" s="212">
        <f t="shared" si="10"/>
        <v>19.872000000000003</v>
      </c>
      <c r="N37" s="213">
        <f t="shared" si="14"/>
        <v>78.472000000000008</v>
      </c>
      <c r="O37" s="212">
        <f t="shared" si="11"/>
        <v>11.904</v>
      </c>
      <c r="P37" s="214">
        <f t="shared" si="12"/>
        <v>87.103999999999999</v>
      </c>
      <c r="Q37" s="1"/>
    </row>
    <row r="38" spans="1:17" x14ac:dyDescent="0.2">
      <c r="A38" s="211">
        <v>62</v>
      </c>
      <c r="B38" s="212">
        <f t="shared" si="13"/>
        <v>50.22</v>
      </c>
      <c r="C38" s="212">
        <f t="shared" si="0"/>
        <v>50.203929600000002</v>
      </c>
      <c r="D38" s="212">
        <f t="shared" si="1"/>
        <v>50.235929599999999</v>
      </c>
      <c r="E38" s="212">
        <f t="shared" si="2"/>
        <v>48.954456</v>
      </c>
      <c r="F38" s="213">
        <f t="shared" si="3"/>
        <v>51.474456000000004</v>
      </c>
      <c r="G38" s="212">
        <f t="shared" si="4"/>
        <v>46.157201999999998</v>
      </c>
      <c r="H38" s="213">
        <f t="shared" si="5"/>
        <v>54.247202000000001</v>
      </c>
      <c r="I38" s="212">
        <f t="shared" si="6"/>
        <v>41.130179999999996</v>
      </c>
      <c r="J38" s="213">
        <f t="shared" si="7"/>
        <v>59.230179999999997</v>
      </c>
      <c r="K38" s="212">
        <f t="shared" si="8"/>
        <v>33.546959999999999</v>
      </c>
      <c r="L38" s="213">
        <f t="shared" si="9"/>
        <v>66.746960000000001</v>
      </c>
      <c r="M38" s="212">
        <f t="shared" si="10"/>
        <v>20.791080000000001</v>
      </c>
      <c r="N38" s="213">
        <f t="shared" si="14"/>
        <v>79.391080000000002</v>
      </c>
      <c r="O38" s="212">
        <f t="shared" si="11"/>
        <v>12.454560000000001</v>
      </c>
      <c r="P38" s="214">
        <f t="shared" si="12"/>
        <v>87.654560000000004</v>
      </c>
      <c r="Q38" s="1"/>
    </row>
    <row r="39" spans="1:17" x14ac:dyDescent="0.2">
      <c r="A39" s="211">
        <v>64</v>
      </c>
      <c r="B39" s="212">
        <f t="shared" si="13"/>
        <v>52.480000000000004</v>
      </c>
      <c r="C39" s="212">
        <f t="shared" si="0"/>
        <v>52.463206400000004</v>
      </c>
      <c r="D39" s="212">
        <f t="shared" si="1"/>
        <v>52.495206400000001</v>
      </c>
      <c r="E39" s="212">
        <f t="shared" si="2"/>
        <v>51.157504000000003</v>
      </c>
      <c r="F39" s="213">
        <f t="shared" si="3"/>
        <v>53.677504000000006</v>
      </c>
      <c r="G39" s="212">
        <f t="shared" si="4"/>
        <v>48.234368000000003</v>
      </c>
      <c r="H39" s="213">
        <f t="shared" si="5"/>
        <v>56.324368000000007</v>
      </c>
      <c r="I39" s="212">
        <f t="shared" si="6"/>
        <v>42.981119999999997</v>
      </c>
      <c r="J39" s="213">
        <f t="shared" si="7"/>
        <v>61.081119999999999</v>
      </c>
      <c r="K39" s="212">
        <f t="shared" si="8"/>
        <v>35.056640000000002</v>
      </c>
      <c r="L39" s="213">
        <f t="shared" si="9"/>
        <v>68.256640000000004</v>
      </c>
      <c r="M39" s="212">
        <f t="shared" si="10"/>
        <v>21.726720000000004</v>
      </c>
      <c r="N39" s="213">
        <f t="shared" si="14"/>
        <v>80.326720000000009</v>
      </c>
      <c r="O39" s="212">
        <f t="shared" si="11"/>
        <v>13.015040000000001</v>
      </c>
      <c r="P39" s="214">
        <f t="shared" si="12"/>
        <v>88.215040000000002</v>
      </c>
      <c r="Q39" s="1"/>
    </row>
    <row r="40" spans="1:17" x14ac:dyDescent="0.2">
      <c r="A40" s="211">
        <v>66</v>
      </c>
      <c r="B40" s="212">
        <f t="shared" si="13"/>
        <v>54.780000000000008</v>
      </c>
      <c r="C40" s="212">
        <f t="shared" si="0"/>
        <v>54.762470400000005</v>
      </c>
      <c r="D40" s="212">
        <f t="shared" si="1"/>
        <v>54.794470400000002</v>
      </c>
      <c r="E40" s="212">
        <f t="shared" si="2"/>
        <v>53.399544000000006</v>
      </c>
      <c r="F40" s="213">
        <f t="shared" si="3"/>
        <v>55.919544000000009</v>
      </c>
      <c r="G40" s="212">
        <f t="shared" si="4"/>
        <v>50.348298000000007</v>
      </c>
      <c r="H40" s="213">
        <f t="shared" si="5"/>
        <v>58.438298000000003</v>
      </c>
      <c r="I40" s="212">
        <f t="shared" si="6"/>
        <v>44.864820000000002</v>
      </c>
      <c r="J40" s="213">
        <f t="shared" si="7"/>
        <v>62.964820000000003</v>
      </c>
      <c r="K40" s="212">
        <f t="shared" si="8"/>
        <v>36.593040000000002</v>
      </c>
      <c r="L40" s="213">
        <f t="shared" si="9"/>
        <v>69.793040000000005</v>
      </c>
      <c r="M40" s="212">
        <f t="shared" si="10"/>
        <v>22.678920000000005</v>
      </c>
      <c r="N40" s="213">
        <f t="shared" si="14"/>
        <v>81.278919999999999</v>
      </c>
      <c r="O40" s="212">
        <f t="shared" si="11"/>
        <v>13.585440000000002</v>
      </c>
      <c r="P40" s="214">
        <f t="shared" si="12"/>
        <v>88.785440000000008</v>
      </c>
      <c r="Q40" s="1"/>
    </row>
    <row r="41" spans="1:17" x14ac:dyDescent="0.2">
      <c r="A41" s="211">
        <v>68</v>
      </c>
      <c r="B41" s="212">
        <f t="shared" si="13"/>
        <v>57.120000000000005</v>
      </c>
      <c r="C41" s="212">
        <f t="shared" si="0"/>
        <v>57.101721600000005</v>
      </c>
      <c r="D41" s="212">
        <f t="shared" si="1"/>
        <v>57.133721600000001</v>
      </c>
      <c r="E41" s="212">
        <f t="shared" si="2"/>
        <v>55.680576000000009</v>
      </c>
      <c r="F41" s="213">
        <f t="shared" si="3"/>
        <v>58.200576000000012</v>
      </c>
      <c r="G41" s="212">
        <f t="shared" si="4"/>
        <v>52.498992000000001</v>
      </c>
      <c r="H41" s="213">
        <f t="shared" si="5"/>
        <v>60.588992000000005</v>
      </c>
      <c r="I41" s="212">
        <f t="shared" si="6"/>
        <v>46.781279999999995</v>
      </c>
      <c r="J41" s="213">
        <f t="shared" si="7"/>
        <v>64.881280000000004</v>
      </c>
      <c r="K41" s="212">
        <f t="shared" si="8"/>
        <v>38.15616</v>
      </c>
      <c r="L41" s="213">
        <f t="shared" si="9"/>
        <v>71.356160000000003</v>
      </c>
      <c r="M41" s="212">
        <f t="shared" si="10"/>
        <v>23.647680000000005</v>
      </c>
      <c r="N41" s="213">
        <f t="shared" si="14"/>
        <v>82.247680000000003</v>
      </c>
      <c r="O41" s="212">
        <f t="shared" si="11"/>
        <v>14.165760000000001</v>
      </c>
      <c r="P41" s="214">
        <f t="shared" si="12"/>
        <v>89.365760000000009</v>
      </c>
      <c r="Q41" s="1"/>
    </row>
    <row r="42" spans="1:17" x14ac:dyDescent="0.2">
      <c r="A42" s="211">
        <v>70</v>
      </c>
      <c r="B42" s="212">
        <f t="shared" si="13"/>
        <v>59.5</v>
      </c>
      <c r="C42" s="212">
        <f t="shared" si="0"/>
        <v>59.480959999999996</v>
      </c>
      <c r="D42" s="212">
        <f t="shared" si="1"/>
        <v>59.512959999999993</v>
      </c>
      <c r="E42" s="212">
        <f t="shared" si="2"/>
        <v>58.000599999999999</v>
      </c>
      <c r="F42" s="213">
        <f t="shared" si="3"/>
        <v>60.520600000000002</v>
      </c>
      <c r="G42" s="212">
        <f t="shared" si="4"/>
        <v>54.686449999999994</v>
      </c>
      <c r="H42" s="213">
        <f t="shared" si="5"/>
        <v>62.776449999999997</v>
      </c>
      <c r="I42" s="212">
        <f t="shared" si="6"/>
        <v>48.730499999999992</v>
      </c>
      <c r="J42" s="213">
        <f t="shared" si="7"/>
        <v>66.830500000000001</v>
      </c>
      <c r="K42" s="212">
        <f t="shared" si="8"/>
        <v>39.745999999999995</v>
      </c>
      <c r="L42" s="213">
        <f t="shared" si="9"/>
        <v>72.945999999999998</v>
      </c>
      <c r="M42" s="212">
        <f t="shared" si="10"/>
        <v>24.633000000000003</v>
      </c>
      <c r="N42" s="213">
        <f t="shared" si="14"/>
        <v>83.233000000000004</v>
      </c>
      <c r="O42" s="212">
        <f t="shared" si="11"/>
        <v>14.756</v>
      </c>
      <c r="P42" s="214">
        <f t="shared" si="12"/>
        <v>89.956000000000003</v>
      </c>
      <c r="Q42" s="1"/>
    </row>
    <row r="43" spans="1:17" x14ac:dyDescent="0.2">
      <c r="A43" s="211">
        <v>72</v>
      </c>
      <c r="B43" s="212">
        <f t="shared" si="13"/>
        <v>61.919999999999995</v>
      </c>
      <c r="C43" s="212">
        <f t="shared" si="0"/>
        <v>61.9001856</v>
      </c>
      <c r="D43" s="212">
        <f t="shared" si="1"/>
        <v>61.932185599999997</v>
      </c>
      <c r="E43" s="212">
        <f t="shared" si="2"/>
        <v>60.359616000000003</v>
      </c>
      <c r="F43" s="213">
        <f t="shared" si="3"/>
        <v>62.879616000000006</v>
      </c>
      <c r="G43" s="212">
        <f t="shared" si="4"/>
        <v>56.910671999999998</v>
      </c>
      <c r="H43" s="213">
        <f t="shared" si="5"/>
        <v>65.000671999999994</v>
      </c>
      <c r="I43" s="212">
        <f t="shared" si="6"/>
        <v>50.712479999999992</v>
      </c>
      <c r="J43" s="213">
        <f t="shared" si="7"/>
        <v>68.812479999999994</v>
      </c>
      <c r="K43" s="212">
        <f t="shared" si="8"/>
        <v>41.362559999999995</v>
      </c>
      <c r="L43" s="213">
        <f t="shared" si="9"/>
        <v>74.562559999999991</v>
      </c>
      <c r="M43" s="212">
        <f t="shared" si="10"/>
        <v>25.634880000000003</v>
      </c>
      <c r="N43" s="213">
        <f t="shared" si="14"/>
        <v>84.234880000000004</v>
      </c>
      <c r="O43" s="212">
        <f t="shared" si="11"/>
        <v>15.356159999999999</v>
      </c>
      <c r="P43" s="214">
        <f t="shared" si="12"/>
        <v>90.556160000000006</v>
      </c>
      <c r="Q43" s="1"/>
    </row>
    <row r="44" spans="1:17" x14ac:dyDescent="0.2">
      <c r="A44" s="211">
        <v>74</v>
      </c>
      <c r="B44" s="212">
        <f t="shared" si="13"/>
        <v>64.38</v>
      </c>
      <c r="C44" s="212">
        <f t="shared" si="0"/>
        <v>64.359398399999989</v>
      </c>
      <c r="D44" s="212">
        <f t="shared" si="1"/>
        <v>64.391398399999986</v>
      </c>
      <c r="E44" s="212">
        <f t="shared" si="2"/>
        <v>62.757623999999993</v>
      </c>
      <c r="F44" s="213">
        <f t="shared" si="3"/>
        <v>65.277623999999989</v>
      </c>
      <c r="G44" s="212">
        <f t="shared" si="4"/>
        <v>59.171657999999994</v>
      </c>
      <c r="H44" s="213">
        <f t="shared" si="5"/>
        <v>67.261657999999997</v>
      </c>
      <c r="I44" s="212">
        <f t="shared" si="6"/>
        <v>52.727219999999988</v>
      </c>
      <c r="J44" s="213">
        <f t="shared" si="7"/>
        <v>70.827219999999983</v>
      </c>
      <c r="K44" s="212">
        <f t="shared" si="8"/>
        <v>43.005839999999992</v>
      </c>
      <c r="L44" s="213">
        <f t="shared" si="9"/>
        <v>76.205839999999995</v>
      </c>
      <c r="M44" s="212">
        <f t="shared" si="10"/>
        <v>26.653320000000001</v>
      </c>
      <c r="N44" s="213">
        <f t="shared" si="14"/>
        <v>85.253320000000002</v>
      </c>
      <c r="O44" s="212">
        <f t="shared" si="11"/>
        <v>15.966239999999999</v>
      </c>
      <c r="P44" s="214">
        <f t="shared" si="12"/>
        <v>91.166240000000002</v>
      </c>
      <c r="Q44" s="1"/>
    </row>
    <row r="45" spans="1:17" x14ac:dyDescent="0.2">
      <c r="A45" s="211">
        <v>76</v>
      </c>
      <c r="B45" s="212">
        <f t="shared" si="13"/>
        <v>66.88000000000001</v>
      </c>
      <c r="C45" s="212">
        <f t="shared" si="0"/>
        <v>66.858598400000005</v>
      </c>
      <c r="D45" s="212">
        <f t="shared" si="1"/>
        <v>66.890598400000002</v>
      </c>
      <c r="E45" s="212">
        <f t="shared" si="2"/>
        <v>65.194624000000005</v>
      </c>
      <c r="F45" s="213">
        <f t="shared" si="3"/>
        <v>67.714624000000001</v>
      </c>
      <c r="G45" s="212">
        <f t="shared" si="4"/>
        <v>61.469408000000001</v>
      </c>
      <c r="H45" s="213">
        <f t="shared" si="5"/>
        <v>69.559408000000005</v>
      </c>
      <c r="I45" s="212">
        <f t="shared" si="6"/>
        <v>54.774720000000002</v>
      </c>
      <c r="J45" s="213">
        <f t="shared" si="7"/>
        <v>72.874719999999996</v>
      </c>
      <c r="K45" s="212">
        <f t="shared" si="8"/>
        <v>44.675840000000001</v>
      </c>
      <c r="L45" s="213">
        <f t="shared" si="9"/>
        <v>77.875840000000011</v>
      </c>
      <c r="M45" s="212">
        <f t="shared" si="10"/>
        <v>27.688320000000008</v>
      </c>
      <c r="N45" s="213">
        <f t="shared" si="14"/>
        <v>86.288320000000013</v>
      </c>
      <c r="O45" s="212">
        <f t="shared" si="11"/>
        <v>16.586240000000004</v>
      </c>
      <c r="P45" s="214">
        <f t="shared" si="12"/>
        <v>91.786240000000006</v>
      </c>
      <c r="Q45" s="1"/>
    </row>
    <row r="46" spans="1:17" x14ac:dyDescent="0.2">
      <c r="A46" s="211">
        <v>78</v>
      </c>
      <c r="B46" s="212">
        <f t="shared" si="13"/>
        <v>69.42</v>
      </c>
      <c r="C46" s="212">
        <f t="shared" si="0"/>
        <v>69.397785600000006</v>
      </c>
      <c r="D46" s="212">
        <f t="shared" si="1"/>
        <v>69.429785600000002</v>
      </c>
      <c r="E46" s="212">
        <f t="shared" si="2"/>
        <v>67.67061600000001</v>
      </c>
      <c r="F46" s="213">
        <f t="shared" si="3"/>
        <v>70.190616000000006</v>
      </c>
      <c r="G46" s="212">
        <f t="shared" si="4"/>
        <v>63.803922</v>
      </c>
      <c r="H46" s="213">
        <f t="shared" si="5"/>
        <v>71.893922000000003</v>
      </c>
      <c r="I46" s="212">
        <f t="shared" si="6"/>
        <v>56.854979999999998</v>
      </c>
      <c r="J46" s="213">
        <f t="shared" si="7"/>
        <v>74.954980000000006</v>
      </c>
      <c r="K46" s="212">
        <f t="shared" si="8"/>
        <v>46.37256</v>
      </c>
      <c r="L46" s="213">
        <f t="shared" si="9"/>
        <v>79.57256000000001</v>
      </c>
      <c r="M46" s="212">
        <f t="shared" si="10"/>
        <v>28.739880000000007</v>
      </c>
      <c r="N46" s="213">
        <f t="shared" si="14"/>
        <v>87.339880000000008</v>
      </c>
      <c r="O46" s="212">
        <f t="shared" si="11"/>
        <v>17.216160000000002</v>
      </c>
      <c r="P46" s="214">
        <f t="shared" si="12"/>
        <v>92.416160000000005</v>
      </c>
      <c r="Q46" s="1"/>
    </row>
    <row r="47" spans="1:17" x14ac:dyDescent="0.2">
      <c r="A47" s="211">
        <v>80</v>
      </c>
      <c r="B47" s="212">
        <f t="shared" si="13"/>
        <v>72.000000000000014</v>
      </c>
      <c r="C47" s="212">
        <f t="shared" si="0"/>
        <v>71.976960000000005</v>
      </c>
      <c r="D47" s="212">
        <f t="shared" si="1"/>
        <v>72.008960000000002</v>
      </c>
      <c r="E47" s="212">
        <f t="shared" si="2"/>
        <v>70.185600000000008</v>
      </c>
      <c r="F47" s="213">
        <f t="shared" si="3"/>
        <v>72.705600000000004</v>
      </c>
      <c r="G47" s="212">
        <f t="shared" si="4"/>
        <v>66.175200000000004</v>
      </c>
      <c r="H47" s="213">
        <f t="shared" si="5"/>
        <v>74.265200000000007</v>
      </c>
      <c r="I47" s="212">
        <f t="shared" si="6"/>
        <v>58.968000000000004</v>
      </c>
      <c r="J47" s="213">
        <f t="shared" si="7"/>
        <v>77.068000000000012</v>
      </c>
      <c r="K47" s="212">
        <f t="shared" si="8"/>
        <v>48.096000000000004</v>
      </c>
      <c r="L47" s="213">
        <f t="shared" si="9"/>
        <v>81.296000000000006</v>
      </c>
      <c r="M47" s="212">
        <f t="shared" si="10"/>
        <v>29.808000000000007</v>
      </c>
      <c r="N47" s="213">
        <f t="shared" si="14"/>
        <v>88.408000000000015</v>
      </c>
      <c r="O47" s="212">
        <f t="shared" si="11"/>
        <v>17.856000000000002</v>
      </c>
      <c r="P47" s="214">
        <f t="shared" si="12"/>
        <v>93.056000000000012</v>
      </c>
      <c r="Q47" s="1"/>
    </row>
    <row r="48" spans="1:17" x14ac:dyDescent="0.2">
      <c r="A48" s="211">
        <v>82</v>
      </c>
      <c r="B48" s="212">
        <f t="shared" si="13"/>
        <v>74.62</v>
      </c>
      <c r="C48" s="212">
        <f t="shared" si="0"/>
        <v>74.596121600000004</v>
      </c>
      <c r="D48" s="212">
        <f t="shared" si="1"/>
        <v>74.6281216</v>
      </c>
      <c r="E48" s="212">
        <f t="shared" si="2"/>
        <v>72.739576</v>
      </c>
      <c r="F48" s="213">
        <f t="shared" si="3"/>
        <v>75.259575999999996</v>
      </c>
      <c r="G48" s="212">
        <f t="shared" si="4"/>
        <v>68.583241999999998</v>
      </c>
      <c r="H48" s="213">
        <f t="shared" si="5"/>
        <v>76.673242000000002</v>
      </c>
      <c r="I48" s="212">
        <f t="shared" si="6"/>
        <v>61.113779999999991</v>
      </c>
      <c r="J48" s="213">
        <f t="shared" si="7"/>
        <v>79.213779999999986</v>
      </c>
      <c r="K48" s="212">
        <f t="shared" si="8"/>
        <v>49.846159999999998</v>
      </c>
      <c r="L48" s="213">
        <f t="shared" si="9"/>
        <v>83.04616</v>
      </c>
      <c r="M48" s="212">
        <f t="shared" si="10"/>
        <v>30.892680000000002</v>
      </c>
      <c r="N48" s="213">
        <f t="shared" si="14"/>
        <v>89.492680000000007</v>
      </c>
      <c r="O48" s="212">
        <f t="shared" si="11"/>
        <v>18.505759999999999</v>
      </c>
      <c r="P48" s="214">
        <f t="shared" si="12"/>
        <v>93.705759999999998</v>
      </c>
      <c r="Q48" s="1"/>
    </row>
    <row r="49" spans="1:17" x14ac:dyDescent="0.2">
      <c r="A49" s="211">
        <v>84</v>
      </c>
      <c r="B49" s="212">
        <f t="shared" si="13"/>
        <v>77.279999999999987</v>
      </c>
      <c r="C49" s="212">
        <f t="shared" si="0"/>
        <v>77.255270400000001</v>
      </c>
      <c r="D49" s="212">
        <f t="shared" si="1"/>
        <v>77.287270399999997</v>
      </c>
      <c r="E49" s="212">
        <f t="shared" si="2"/>
        <v>75.332543999999999</v>
      </c>
      <c r="F49" s="213">
        <f t="shared" si="3"/>
        <v>77.852543999999995</v>
      </c>
      <c r="G49" s="212">
        <f t="shared" si="4"/>
        <v>71.028047999999984</v>
      </c>
      <c r="H49" s="213">
        <f t="shared" si="5"/>
        <v>79.118047999999987</v>
      </c>
      <c r="I49" s="212">
        <f t="shared" si="6"/>
        <v>63.292319999999989</v>
      </c>
      <c r="J49" s="213">
        <f t="shared" si="7"/>
        <v>81.392319999999984</v>
      </c>
      <c r="K49" s="212">
        <f t="shared" si="8"/>
        <v>51.623039999999996</v>
      </c>
      <c r="L49" s="213">
        <f t="shared" si="9"/>
        <v>84.823039999999992</v>
      </c>
      <c r="M49" s="212">
        <f t="shared" si="10"/>
        <v>31.993920000000003</v>
      </c>
      <c r="N49" s="213">
        <f t="shared" si="14"/>
        <v>90.593919999999997</v>
      </c>
      <c r="O49" s="212">
        <f t="shared" si="11"/>
        <v>19.16544</v>
      </c>
      <c r="P49" s="214">
        <f t="shared" si="12"/>
        <v>94.365440000000007</v>
      </c>
      <c r="Q49" s="1"/>
    </row>
    <row r="50" spans="1:17" x14ac:dyDescent="0.2">
      <c r="A50" s="211">
        <v>86</v>
      </c>
      <c r="B50" s="212">
        <f t="shared" si="13"/>
        <v>79.97999999999999</v>
      </c>
      <c r="C50" s="212">
        <f t="shared" si="0"/>
        <v>79.954406399999996</v>
      </c>
      <c r="D50" s="212">
        <f t="shared" si="1"/>
        <v>79.986406399999993</v>
      </c>
      <c r="E50" s="212">
        <f t="shared" si="2"/>
        <v>77.964504000000005</v>
      </c>
      <c r="F50" s="213">
        <f t="shared" si="3"/>
        <v>80.484504000000001</v>
      </c>
      <c r="G50" s="212">
        <f t="shared" si="4"/>
        <v>73.509617999999989</v>
      </c>
      <c r="H50" s="213">
        <f t="shared" si="5"/>
        <v>81.599617999999992</v>
      </c>
      <c r="I50" s="212">
        <f t="shared" si="6"/>
        <v>65.503619999999984</v>
      </c>
      <c r="J50" s="213">
        <f t="shared" si="7"/>
        <v>83.603619999999978</v>
      </c>
      <c r="K50" s="212">
        <f t="shared" si="8"/>
        <v>53.426639999999992</v>
      </c>
      <c r="L50" s="213">
        <f t="shared" si="9"/>
        <v>86.626639999999995</v>
      </c>
      <c r="M50" s="212">
        <f t="shared" si="10"/>
        <v>33.111720000000005</v>
      </c>
      <c r="N50" s="213">
        <f t="shared" si="14"/>
        <v>91.711720000000014</v>
      </c>
      <c r="O50" s="212">
        <f t="shared" si="11"/>
        <v>19.835039999999999</v>
      </c>
      <c r="P50" s="214">
        <f t="shared" si="12"/>
        <v>95.035040000000009</v>
      </c>
      <c r="Q50" s="1"/>
    </row>
    <row r="51" spans="1:17" x14ac:dyDescent="0.2">
      <c r="A51" s="211">
        <v>88</v>
      </c>
      <c r="B51" s="212">
        <f t="shared" si="13"/>
        <v>82.72</v>
      </c>
      <c r="C51" s="212">
        <f t="shared" si="0"/>
        <v>82.693529599999991</v>
      </c>
      <c r="D51" s="212">
        <f t="shared" si="1"/>
        <v>82.725529599999987</v>
      </c>
      <c r="E51" s="212">
        <f t="shared" si="2"/>
        <v>80.635455999999991</v>
      </c>
      <c r="F51" s="213">
        <f t="shared" si="3"/>
        <v>83.155455999999987</v>
      </c>
      <c r="G51" s="212">
        <f t="shared" si="4"/>
        <v>76.027951999999985</v>
      </c>
      <c r="H51" s="213">
        <f t="shared" si="5"/>
        <v>84.117951999999988</v>
      </c>
      <c r="I51" s="212">
        <f t="shared" si="6"/>
        <v>67.747679999999988</v>
      </c>
      <c r="J51" s="213">
        <f t="shared" si="7"/>
        <v>85.847679999999997</v>
      </c>
      <c r="K51" s="212">
        <f t="shared" si="8"/>
        <v>55.256959999999992</v>
      </c>
      <c r="L51" s="213">
        <f t="shared" si="9"/>
        <v>88.456959999999995</v>
      </c>
      <c r="M51" s="212">
        <f t="shared" si="10"/>
        <v>34.246079999999999</v>
      </c>
      <c r="N51" s="213">
        <f t="shared" si="14"/>
        <v>92.846080000000001</v>
      </c>
      <c r="O51" s="212">
        <f t="shared" si="11"/>
        <v>20.514559999999999</v>
      </c>
      <c r="P51" s="214">
        <f t="shared" si="12"/>
        <v>95.714560000000006</v>
      </c>
      <c r="Q51" s="1"/>
    </row>
    <row r="52" spans="1:17" x14ac:dyDescent="0.2">
      <c r="A52" s="211">
        <v>90</v>
      </c>
      <c r="B52" s="212">
        <f t="shared" si="13"/>
        <v>85.5</v>
      </c>
      <c r="C52" s="212">
        <f t="shared" si="0"/>
        <v>85.472639999999998</v>
      </c>
      <c r="D52" s="212">
        <f t="shared" si="1"/>
        <v>85.504639999999995</v>
      </c>
      <c r="E52" s="212">
        <f t="shared" si="2"/>
        <v>83.345399999999998</v>
      </c>
      <c r="F52" s="213">
        <f t="shared" si="3"/>
        <v>85.865399999999994</v>
      </c>
      <c r="G52" s="212">
        <f t="shared" si="4"/>
        <v>78.58305</v>
      </c>
      <c r="H52" s="213">
        <f t="shared" si="5"/>
        <v>86.673050000000003</v>
      </c>
      <c r="I52" s="212">
        <f t="shared" si="6"/>
        <v>70.024499999999989</v>
      </c>
      <c r="J52" s="213">
        <f t="shared" si="7"/>
        <v>88.124499999999983</v>
      </c>
      <c r="K52" s="212">
        <f t="shared" si="8"/>
        <v>57.113999999999997</v>
      </c>
      <c r="L52" s="213">
        <f t="shared" si="9"/>
        <v>90.313999999999993</v>
      </c>
      <c r="M52" s="212">
        <f t="shared" si="10"/>
        <v>35.397000000000006</v>
      </c>
      <c r="N52" s="213">
        <f t="shared" si="14"/>
        <v>93.997000000000014</v>
      </c>
      <c r="O52" s="212">
        <f t="shared" si="11"/>
        <v>21.204000000000001</v>
      </c>
      <c r="P52" s="214">
        <f t="shared" si="12"/>
        <v>96.403999999999996</v>
      </c>
      <c r="Q52" s="1"/>
    </row>
    <row r="53" spans="1:17" x14ac:dyDescent="0.2">
      <c r="A53" s="211">
        <v>92</v>
      </c>
      <c r="B53" s="212">
        <f t="shared" si="13"/>
        <v>88.32</v>
      </c>
      <c r="C53" s="212">
        <f t="shared" si="0"/>
        <v>88.291737600000005</v>
      </c>
      <c r="D53" s="212">
        <f t="shared" si="1"/>
        <v>88.323737600000001</v>
      </c>
      <c r="E53" s="212">
        <f t="shared" si="2"/>
        <v>86.094335999999998</v>
      </c>
      <c r="F53" s="213">
        <f t="shared" si="3"/>
        <v>88.614335999999994</v>
      </c>
      <c r="G53" s="212">
        <f t="shared" si="4"/>
        <v>81.174911999999992</v>
      </c>
      <c r="H53" s="213">
        <f t="shared" si="5"/>
        <v>89.264911999999995</v>
      </c>
      <c r="I53" s="212">
        <f t="shared" si="6"/>
        <v>72.334079999999986</v>
      </c>
      <c r="J53" s="213">
        <f t="shared" si="7"/>
        <v>90.434079999999994</v>
      </c>
      <c r="K53" s="212">
        <f t="shared" si="8"/>
        <v>58.99776</v>
      </c>
      <c r="L53" s="213">
        <f t="shared" si="9"/>
        <v>92.197760000000002</v>
      </c>
      <c r="M53" s="212">
        <f t="shared" si="10"/>
        <v>36.564480000000003</v>
      </c>
      <c r="N53" s="213">
        <f t="shared" si="14"/>
        <v>95.164479999999998</v>
      </c>
      <c r="O53" s="212">
        <f t="shared" si="11"/>
        <v>21.903359999999999</v>
      </c>
      <c r="P53" s="214">
        <f t="shared" si="12"/>
        <v>97.103360000000009</v>
      </c>
      <c r="Q53" s="1"/>
    </row>
    <row r="54" spans="1:17" x14ac:dyDescent="0.2">
      <c r="A54" s="211">
        <v>94</v>
      </c>
      <c r="B54" s="212">
        <f t="shared" si="13"/>
        <v>91.179999999999993</v>
      </c>
      <c r="C54" s="212">
        <f t="shared" si="0"/>
        <v>91.150822399999996</v>
      </c>
      <c r="D54" s="212">
        <f t="shared" si="1"/>
        <v>91.182822399999992</v>
      </c>
      <c r="E54" s="212">
        <f t="shared" si="2"/>
        <v>88.882263999999992</v>
      </c>
      <c r="F54" s="213">
        <f t="shared" si="3"/>
        <v>91.402263999999988</v>
      </c>
      <c r="G54" s="212">
        <f t="shared" si="4"/>
        <v>83.803537999999989</v>
      </c>
      <c r="H54" s="213">
        <f t="shared" si="5"/>
        <v>91.893537999999992</v>
      </c>
      <c r="I54" s="212">
        <f t="shared" si="6"/>
        <v>74.676419999999993</v>
      </c>
      <c r="J54" s="213">
        <f t="shared" si="7"/>
        <v>92.776420000000002</v>
      </c>
      <c r="K54" s="212">
        <f t="shared" si="8"/>
        <v>60.908239999999992</v>
      </c>
      <c r="L54" s="213">
        <f t="shared" si="9"/>
        <v>94.108239999999995</v>
      </c>
      <c r="M54" s="212">
        <f t="shared" si="10"/>
        <v>37.748520000000006</v>
      </c>
      <c r="N54" s="213">
        <f t="shared" si="14"/>
        <v>96.348520000000008</v>
      </c>
      <c r="O54" s="212">
        <f t="shared" si="11"/>
        <v>22.612639999999999</v>
      </c>
      <c r="P54" s="214">
        <f t="shared" si="12"/>
        <v>97.812640000000002</v>
      </c>
      <c r="Q54" s="1"/>
    </row>
    <row r="55" spans="1:17" x14ac:dyDescent="0.2">
      <c r="A55" s="211">
        <v>96</v>
      </c>
      <c r="B55" s="212">
        <f t="shared" si="13"/>
        <v>94.08</v>
      </c>
      <c r="C55" s="212">
        <f t="shared" si="0"/>
        <v>94.049894399999999</v>
      </c>
      <c r="D55" s="212">
        <f t="shared" si="1"/>
        <v>94.081894399999996</v>
      </c>
      <c r="E55" s="212">
        <f t="shared" si="2"/>
        <v>91.709184000000008</v>
      </c>
      <c r="F55" s="213">
        <f t="shared" si="3"/>
        <v>94.229184000000004</v>
      </c>
      <c r="G55" s="212">
        <f t="shared" si="4"/>
        <v>86.468927999999991</v>
      </c>
      <c r="H55" s="213">
        <f t="shared" si="5"/>
        <v>94.558927999999995</v>
      </c>
      <c r="I55" s="212">
        <f t="shared" si="6"/>
        <v>77.051519999999996</v>
      </c>
      <c r="J55" s="213">
        <f t="shared" si="7"/>
        <v>95.151520000000005</v>
      </c>
      <c r="K55" s="212">
        <f t="shared" si="8"/>
        <v>62.845439999999996</v>
      </c>
      <c r="L55" s="213">
        <f t="shared" si="9"/>
        <v>96.045439999999999</v>
      </c>
      <c r="M55" s="212">
        <f t="shared" si="10"/>
        <v>38.949120000000001</v>
      </c>
      <c r="N55" s="213">
        <f t="shared" si="14"/>
        <v>97.549120000000002</v>
      </c>
      <c r="O55" s="212">
        <f t="shared" si="11"/>
        <v>23.33184</v>
      </c>
      <c r="P55" s="214">
        <f t="shared" si="12"/>
        <v>98.531840000000003</v>
      </c>
      <c r="Q55" s="1"/>
    </row>
    <row r="56" spans="1:17" x14ac:dyDescent="0.2">
      <c r="A56" s="211">
        <v>98</v>
      </c>
      <c r="B56" s="212">
        <f t="shared" si="13"/>
        <v>97.02</v>
      </c>
      <c r="C56" s="212">
        <f t="shared" si="0"/>
        <v>96.988953600000002</v>
      </c>
      <c r="D56" s="212">
        <f t="shared" si="1"/>
        <v>97.020953599999999</v>
      </c>
      <c r="E56" s="212">
        <f t="shared" si="2"/>
        <v>94.575096000000002</v>
      </c>
      <c r="F56" s="213">
        <f t="shared" si="3"/>
        <v>97.095095999999998</v>
      </c>
      <c r="G56" s="212">
        <f t="shared" si="4"/>
        <v>89.171081999999998</v>
      </c>
      <c r="H56" s="213">
        <f t="shared" si="5"/>
        <v>97.261082000000002</v>
      </c>
      <c r="I56" s="212">
        <f t="shared" si="6"/>
        <v>79.459379999999982</v>
      </c>
      <c r="J56" s="213">
        <f t="shared" si="7"/>
        <v>97.559379999999976</v>
      </c>
      <c r="K56" s="212">
        <f t="shared" si="8"/>
        <v>64.809359999999998</v>
      </c>
      <c r="L56" s="213">
        <f t="shared" si="9"/>
        <v>98.009360000000001</v>
      </c>
      <c r="M56" s="212">
        <f t="shared" si="10"/>
        <v>40.16628</v>
      </c>
      <c r="N56" s="213">
        <f t="shared" si="14"/>
        <v>98.766279999999995</v>
      </c>
      <c r="O56" s="212">
        <f t="shared" si="11"/>
        <v>24.060959999999998</v>
      </c>
      <c r="P56" s="214">
        <f t="shared" si="12"/>
        <v>99.260959999999997</v>
      </c>
      <c r="Q56" s="1"/>
    </row>
    <row r="57" spans="1:17" ht="17" thickBot="1" x14ac:dyDescent="0.25">
      <c r="A57" s="216">
        <v>100</v>
      </c>
      <c r="B57" s="217">
        <f t="shared" si="13"/>
        <v>100</v>
      </c>
      <c r="C57" s="217">
        <f t="shared" si="0"/>
        <v>99.968000000000004</v>
      </c>
      <c r="D57" s="217">
        <f t="shared" si="1"/>
        <v>100</v>
      </c>
      <c r="E57" s="217">
        <f t="shared" si="2"/>
        <v>97.48</v>
      </c>
      <c r="F57" s="218">
        <f t="shared" si="3"/>
        <v>100</v>
      </c>
      <c r="G57" s="217">
        <f t="shared" si="4"/>
        <v>91.91</v>
      </c>
      <c r="H57" s="218">
        <f t="shared" si="5"/>
        <v>100</v>
      </c>
      <c r="I57" s="217">
        <f t="shared" si="6"/>
        <v>81.899999999999991</v>
      </c>
      <c r="J57" s="218">
        <f t="shared" si="7"/>
        <v>100</v>
      </c>
      <c r="K57" s="217">
        <f t="shared" si="8"/>
        <v>66.8</v>
      </c>
      <c r="L57" s="218">
        <f t="shared" si="9"/>
        <v>100</v>
      </c>
      <c r="M57" s="217">
        <f t="shared" si="10"/>
        <v>41.400000000000006</v>
      </c>
      <c r="N57" s="218">
        <f t="shared" si="14"/>
        <v>100</v>
      </c>
      <c r="O57" s="217">
        <f t="shared" si="11"/>
        <v>24.8</v>
      </c>
      <c r="P57" s="219">
        <f t="shared" si="12"/>
        <v>100</v>
      </c>
      <c r="Q57" s="1"/>
    </row>
    <row r="58" spans="1:17" x14ac:dyDescent="0.2">
      <c r="A58" s="220"/>
      <c r="B58" s="221"/>
      <c r="C58" s="221"/>
      <c r="D58" s="1"/>
      <c r="E58" s="1"/>
      <c r="F58" s="1"/>
      <c r="G58" s="1"/>
      <c r="H58" s="1"/>
      <c r="I58" s="1"/>
      <c r="J58" s="1"/>
      <c r="K58" s="1"/>
      <c r="L58" s="1"/>
      <c r="M58" s="1"/>
      <c r="N58" s="1"/>
      <c r="O58" s="1"/>
      <c r="P58" s="1"/>
      <c r="Q58" s="1"/>
    </row>
    <row r="59" spans="1:17" x14ac:dyDescent="0.2">
      <c r="A59" s="220"/>
      <c r="B59" s="221"/>
      <c r="C59" s="221"/>
    </row>
    <row r="60" spans="1:17" x14ac:dyDescent="0.2">
      <c r="A60" s="220"/>
      <c r="B60" s="221"/>
      <c r="C60" s="221"/>
    </row>
    <row r="61" spans="1:17" x14ac:dyDescent="0.2">
      <c r="A61" s="220"/>
      <c r="B61" s="221"/>
      <c r="C61" s="221"/>
    </row>
    <row r="62" spans="1:17" x14ac:dyDescent="0.2">
      <c r="A62" s="220"/>
      <c r="B62" s="221"/>
      <c r="C62" s="221"/>
    </row>
    <row r="63" spans="1:17" x14ac:dyDescent="0.2">
      <c r="A63" s="220"/>
      <c r="B63" s="221"/>
      <c r="C63" s="221"/>
    </row>
    <row r="64" spans="1:17" x14ac:dyDescent="0.2">
      <c r="A64" s="220"/>
      <c r="B64" s="221"/>
      <c r="C64" s="221"/>
    </row>
    <row r="65" spans="1:3" x14ac:dyDescent="0.2">
      <c r="A65" s="220"/>
      <c r="B65" s="221"/>
      <c r="C65" s="221"/>
    </row>
    <row r="66" spans="1:3" x14ac:dyDescent="0.2">
      <c r="A66" s="220"/>
      <c r="B66" s="221"/>
      <c r="C66" s="221"/>
    </row>
    <row r="67" spans="1:3" x14ac:dyDescent="0.2">
      <c r="A67" s="220"/>
      <c r="B67" s="221"/>
      <c r="C67" s="221"/>
    </row>
    <row r="68" spans="1:3" x14ac:dyDescent="0.2">
      <c r="A68" s="220"/>
      <c r="B68" s="221"/>
      <c r="C68" s="221"/>
    </row>
    <row r="69" spans="1:3" x14ac:dyDescent="0.2">
      <c r="A69" s="220"/>
      <c r="B69" s="221"/>
      <c r="C69" s="221"/>
    </row>
    <row r="70" spans="1:3" x14ac:dyDescent="0.2">
      <c r="A70" s="220"/>
      <c r="B70" s="221"/>
      <c r="C70" s="221"/>
    </row>
    <row r="71" spans="1:3" x14ac:dyDescent="0.2">
      <c r="A71" s="220"/>
      <c r="B71" s="221"/>
      <c r="C71" s="221"/>
    </row>
    <row r="72" spans="1:3" x14ac:dyDescent="0.2">
      <c r="A72" s="220"/>
      <c r="B72" s="221"/>
      <c r="C72" s="221"/>
    </row>
    <row r="73" spans="1:3" x14ac:dyDescent="0.2">
      <c r="A73" s="220"/>
      <c r="B73" s="221"/>
      <c r="C73" s="221"/>
    </row>
    <row r="74" spans="1:3" x14ac:dyDescent="0.2">
      <c r="A74" s="220"/>
      <c r="B74" s="221"/>
      <c r="C74" s="221"/>
    </row>
    <row r="75" spans="1:3" x14ac:dyDescent="0.2">
      <c r="A75" s="220"/>
      <c r="B75" s="221"/>
      <c r="C75" s="221"/>
    </row>
    <row r="76" spans="1:3" x14ac:dyDescent="0.2">
      <c r="A76" s="220"/>
      <c r="B76" s="221"/>
      <c r="C76" s="221"/>
    </row>
    <row r="77" spans="1:3" x14ac:dyDescent="0.2">
      <c r="A77" s="220"/>
      <c r="B77" s="221"/>
      <c r="C77" s="221"/>
    </row>
    <row r="78" spans="1:3" x14ac:dyDescent="0.2">
      <c r="A78" s="220"/>
      <c r="B78" s="221"/>
      <c r="C78" s="221"/>
    </row>
    <row r="79" spans="1:3" x14ac:dyDescent="0.2">
      <c r="A79" s="220"/>
      <c r="B79" s="221"/>
      <c r="C79" s="221"/>
    </row>
    <row r="80" spans="1:3" x14ac:dyDescent="0.2">
      <c r="A80" s="220"/>
      <c r="B80" s="221"/>
      <c r="C80" s="221"/>
    </row>
    <row r="81" spans="1:3" x14ac:dyDescent="0.2">
      <c r="A81" s="220"/>
      <c r="B81" s="221"/>
      <c r="C81" s="221"/>
    </row>
    <row r="82" spans="1:3" x14ac:dyDescent="0.2">
      <c r="A82" s="220"/>
      <c r="B82" s="221"/>
      <c r="C82" s="221"/>
    </row>
    <row r="83" spans="1:3" x14ac:dyDescent="0.2">
      <c r="A83" s="220"/>
      <c r="B83" s="221"/>
      <c r="C83" s="221"/>
    </row>
    <row r="84" spans="1:3" x14ac:dyDescent="0.2">
      <c r="A84" s="220"/>
      <c r="B84" s="221"/>
      <c r="C84" s="221"/>
    </row>
    <row r="85" spans="1:3" x14ac:dyDescent="0.2">
      <c r="A85" s="220"/>
      <c r="B85" s="221"/>
      <c r="C85" s="221"/>
    </row>
    <row r="86" spans="1:3" x14ac:dyDescent="0.2">
      <c r="A86" s="220"/>
      <c r="B86" s="221"/>
      <c r="C86" s="221"/>
    </row>
    <row r="87" spans="1:3" x14ac:dyDescent="0.2">
      <c r="A87" s="220"/>
      <c r="B87" s="221"/>
      <c r="C87" s="221"/>
    </row>
    <row r="88" spans="1:3" x14ac:dyDescent="0.2">
      <c r="A88" s="220"/>
      <c r="B88" s="221"/>
      <c r="C88" s="221"/>
    </row>
    <row r="89" spans="1:3" x14ac:dyDescent="0.2">
      <c r="A89" s="220"/>
      <c r="B89" s="221"/>
      <c r="C89" s="221"/>
    </row>
    <row r="90" spans="1:3" x14ac:dyDescent="0.2">
      <c r="A90" s="220"/>
      <c r="B90" s="221"/>
      <c r="C90" s="221"/>
    </row>
    <row r="91" spans="1:3" x14ac:dyDescent="0.2">
      <c r="A91" s="220"/>
      <c r="B91" s="221"/>
      <c r="C91" s="221"/>
    </row>
    <row r="92" spans="1:3" x14ac:dyDescent="0.2">
      <c r="A92" s="220"/>
      <c r="B92" s="221"/>
      <c r="C92" s="221"/>
    </row>
    <row r="93" spans="1:3" x14ac:dyDescent="0.2">
      <c r="A93" s="220"/>
      <c r="B93" s="221"/>
      <c r="C93" s="221"/>
    </row>
    <row r="94" spans="1:3" x14ac:dyDescent="0.2">
      <c r="A94" s="220"/>
      <c r="B94" s="221"/>
      <c r="C94" s="221"/>
    </row>
    <row r="95" spans="1:3" x14ac:dyDescent="0.2">
      <c r="A95" s="220"/>
      <c r="B95" s="221"/>
      <c r="C95" s="221"/>
    </row>
    <row r="96" spans="1:3" x14ac:dyDescent="0.2">
      <c r="A96" s="220"/>
      <c r="B96" s="221"/>
      <c r="C96" s="221"/>
    </row>
    <row r="97" spans="1:3" x14ac:dyDescent="0.2">
      <c r="A97" s="220"/>
      <c r="B97" s="221"/>
      <c r="C97" s="221"/>
    </row>
    <row r="98" spans="1:3" x14ac:dyDescent="0.2">
      <c r="A98" s="220"/>
      <c r="B98" s="221"/>
      <c r="C98" s="221"/>
    </row>
    <row r="99" spans="1:3" x14ac:dyDescent="0.2">
      <c r="A99" s="220"/>
      <c r="B99" s="221"/>
      <c r="C99" s="221"/>
    </row>
    <row r="100" spans="1:3" x14ac:dyDescent="0.2">
      <c r="A100" s="220"/>
      <c r="B100" s="221"/>
      <c r="C100" s="221"/>
    </row>
    <row r="101" spans="1:3" x14ac:dyDescent="0.2">
      <c r="A101" s="220"/>
      <c r="B101" s="221"/>
      <c r="C101" s="221"/>
    </row>
    <row r="102" spans="1:3" x14ac:dyDescent="0.2">
      <c r="A102" s="220"/>
      <c r="B102" s="221"/>
      <c r="C102" s="221"/>
    </row>
    <row r="103" spans="1:3" x14ac:dyDescent="0.2">
      <c r="A103" s="220"/>
      <c r="B103" s="221"/>
      <c r="C103" s="221"/>
    </row>
    <row r="104" spans="1:3" x14ac:dyDescent="0.2">
      <c r="A104" s="220"/>
      <c r="B104" s="221"/>
      <c r="C104" s="221"/>
    </row>
  </sheetData>
  <mergeCells count="15">
    <mergeCell ref="M6:N6"/>
    <mergeCell ref="O6:P6"/>
    <mergeCell ref="C7:D7"/>
    <mergeCell ref="E7:F7"/>
    <mergeCell ref="G7:H7"/>
    <mergeCell ref="I7:J7"/>
    <mergeCell ref="K7:L7"/>
    <mergeCell ref="M7:N7"/>
    <mergeCell ref="O7:P7"/>
    <mergeCell ref="K6:L6"/>
    <mergeCell ref="A1:D1"/>
    <mergeCell ref="C6:D6"/>
    <mergeCell ref="E6:F6"/>
    <mergeCell ref="G6:H6"/>
    <mergeCell ref="I6: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4"/>
  <sheetViews>
    <sheetView showGridLines="0" workbookViewId="0">
      <selection activeCell="H11" sqref="H11"/>
    </sheetView>
  </sheetViews>
  <sheetFormatPr baseColWidth="10" defaultRowHeight="16" x14ac:dyDescent="0.2"/>
  <cols>
    <col min="2" max="2" width="20.83203125" customWidth="1"/>
    <col min="3" max="3" width="6" style="210" customWidth="1"/>
    <col min="4" max="4" width="9.1640625" style="210" customWidth="1"/>
    <col min="5" max="5" width="4.5" style="226" customWidth="1"/>
    <col min="6" max="6" width="11.5" style="226" customWidth="1"/>
    <col min="7" max="7" width="13.5" style="225" bestFit="1" customWidth="1"/>
  </cols>
  <sheetData>
    <row r="2" spans="2:7" ht="29" x14ac:dyDescent="0.35">
      <c r="B2" s="228" t="s">
        <v>137</v>
      </c>
    </row>
    <row r="4" spans="2:7" ht="21" x14ac:dyDescent="0.25">
      <c r="B4" s="229" t="s">
        <v>138</v>
      </c>
      <c r="C4" s="230"/>
      <c r="D4" s="230"/>
      <c r="E4" s="231"/>
      <c r="F4" s="231"/>
      <c r="G4" s="232"/>
    </row>
    <row r="5" spans="2:7" x14ac:dyDescent="0.2">
      <c r="B5" s="233"/>
      <c r="C5" s="234"/>
      <c r="D5" s="234"/>
      <c r="E5" s="235"/>
      <c r="F5" s="235"/>
      <c r="G5" s="236"/>
    </row>
    <row r="7" spans="2:7" x14ac:dyDescent="0.2">
      <c r="B7" s="241" t="s">
        <v>139</v>
      </c>
      <c r="C7" s="242"/>
      <c r="D7" s="242"/>
      <c r="E7" s="243"/>
      <c r="F7" s="243"/>
      <c r="G7" s="244">
        <f>DadosDep!B18</f>
        <v>550000</v>
      </c>
    </row>
    <row r="10" spans="2:7" x14ac:dyDescent="0.2">
      <c r="B10" s="240" t="s">
        <v>140</v>
      </c>
      <c r="D10" s="301" t="s">
        <v>117</v>
      </c>
      <c r="E10" s="301"/>
      <c r="F10" s="245"/>
      <c r="G10" s="239" t="s">
        <v>3</v>
      </c>
    </row>
    <row r="12" spans="2:7" x14ac:dyDescent="0.2">
      <c r="B12" s="246" t="s">
        <v>40</v>
      </c>
      <c r="C12" s="234"/>
      <c r="D12" s="238">
        <f>DadosDep!F30</f>
        <v>65.893840369219859</v>
      </c>
      <c r="E12" s="235" t="s">
        <v>7</v>
      </c>
      <c r="F12" s="235"/>
      <c r="G12" s="237">
        <f>DadosDep!B30</f>
        <v>187583.87796929077</v>
      </c>
    </row>
    <row r="13" spans="2:7" x14ac:dyDescent="0.2">
      <c r="B13" s="240"/>
    </row>
    <row r="14" spans="2:7" x14ac:dyDescent="0.2">
      <c r="B14" s="246" t="s">
        <v>9</v>
      </c>
      <c r="C14" s="234"/>
      <c r="D14" s="238">
        <f>DadosDep!F35</f>
        <v>43.199999999999996</v>
      </c>
      <c r="E14" s="235" t="s">
        <v>7</v>
      </c>
      <c r="F14" s="235"/>
      <c r="G14" s="237">
        <f>DadosDep!B35</f>
        <v>312400.00000000006</v>
      </c>
    </row>
    <row r="15" spans="2:7" ht="15" customHeight="1" x14ac:dyDescent="0.2">
      <c r="B15" s="240"/>
    </row>
    <row r="16" spans="2:7" x14ac:dyDescent="0.2">
      <c r="B16" s="246" t="s">
        <v>16</v>
      </c>
      <c r="C16" s="234"/>
      <c r="D16" s="238">
        <f>DadosDep!F61</f>
        <v>33.200000000000003</v>
      </c>
      <c r="E16" s="235" t="s">
        <v>7</v>
      </c>
      <c r="F16" s="235"/>
      <c r="G16" s="237">
        <f>DadosDep!B61</f>
        <v>367399.99999999994</v>
      </c>
    </row>
    <row r="17" spans="2:7" x14ac:dyDescent="0.2">
      <c r="B17" s="240"/>
    </row>
    <row r="18" spans="2:7" x14ac:dyDescent="0.2">
      <c r="B18" s="246" t="s">
        <v>38</v>
      </c>
      <c r="C18" s="234"/>
      <c r="D18" s="238">
        <f>DadosDep!H66</f>
        <v>65.26400000000001</v>
      </c>
      <c r="E18" s="235" t="s">
        <v>7</v>
      </c>
      <c r="F18" s="235"/>
      <c r="G18" s="237">
        <f>DadosDep!K66</f>
        <v>191047.99999999994</v>
      </c>
    </row>
    <row r="19" spans="2:7" x14ac:dyDescent="0.2">
      <c r="B19" s="240"/>
    </row>
    <row r="20" spans="2:7" x14ac:dyDescent="0.2">
      <c r="B20" s="246" t="s">
        <v>5</v>
      </c>
      <c r="C20" s="234"/>
      <c r="D20" s="238">
        <f>DadosDep!F46</f>
        <v>54</v>
      </c>
      <c r="E20" s="235" t="s">
        <v>7</v>
      </c>
      <c r="F20" s="235"/>
      <c r="G20" s="237">
        <f>DadosDep!B46</f>
        <v>252999.99999999997</v>
      </c>
    </row>
    <row r="21" spans="2:7" x14ac:dyDescent="0.2">
      <c r="B21" s="240"/>
      <c r="D21" s="227"/>
    </row>
    <row r="22" spans="2:7" x14ac:dyDescent="0.2">
      <c r="B22" s="246" t="s">
        <v>8</v>
      </c>
      <c r="C22" s="234"/>
      <c r="D22" s="238">
        <f>DadosDep!F40</f>
        <v>32.4</v>
      </c>
      <c r="E22" s="235" t="s">
        <v>7</v>
      </c>
      <c r="F22" s="235"/>
      <c r="G22" s="237">
        <f>DadosDep!B40</f>
        <v>371799.99999999994</v>
      </c>
    </row>
    <row r="23" spans="2:7" x14ac:dyDescent="0.2">
      <c r="B23" s="240"/>
      <c r="D23" s="227"/>
    </row>
    <row r="24" spans="2:7" x14ac:dyDescent="0.2">
      <c r="B24" s="246" t="s">
        <v>59</v>
      </c>
      <c r="C24" s="234"/>
      <c r="D24" s="238">
        <f>DadosDep!U69</f>
        <v>18.370212310914809</v>
      </c>
      <c r="E24" s="235" t="s">
        <v>7</v>
      </c>
      <c r="F24" s="235"/>
      <c r="G24" s="237">
        <f>DadosDep!Y69</f>
        <v>448963.8322899685</v>
      </c>
    </row>
  </sheetData>
  <mergeCells count="1">
    <mergeCell ref="D10:E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workbookViewId="0">
      <selection activeCell="T8" sqref="T8"/>
    </sheetView>
  </sheetViews>
  <sheetFormatPr baseColWidth="10" defaultColWidth="7.33203125" defaultRowHeight="16" x14ac:dyDescent="0.2"/>
  <cols>
    <col min="1" max="1" width="4.83203125" customWidth="1"/>
    <col min="2" max="2" width="5.6640625" customWidth="1"/>
    <col min="3" max="3" width="10.33203125" customWidth="1"/>
    <col min="4" max="4" width="5.33203125" customWidth="1"/>
    <col min="6" max="6" width="5" customWidth="1"/>
    <col min="7" max="7" width="15.6640625" customWidth="1"/>
    <col min="10" max="10" width="13" customWidth="1"/>
    <col min="11" max="11" width="4.5" customWidth="1"/>
    <col min="12" max="12" width="4" customWidth="1"/>
    <col min="14" max="23" width="7.6640625" style="1" customWidth="1"/>
  </cols>
  <sheetData>
    <row r="1" spans="1:13" customFormat="1" ht="18" x14ac:dyDescent="0.2">
      <c r="A1" s="305" t="s">
        <v>75</v>
      </c>
      <c r="B1" s="306"/>
      <c r="C1" s="306"/>
      <c r="D1" s="306"/>
      <c r="E1" s="306"/>
      <c r="F1" s="306"/>
      <c r="G1" s="10"/>
      <c r="H1" s="10"/>
      <c r="I1" s="10"/>
      <c r="J1" s="10"/>
      <c r="K1" s="10"/>
      <c r="L1" s="10"/>
      <c r="M1" s="11"/>
    </row>
    <row r="2" spans="1:13" customFormat="1" ht="17" thickBot="1" x14ac:dyDescent="0.25">
      <c r="A2" s="4"/>
      <c r="B2" s="2"/>
      <c r="C2" s="2"/>
      <c r="D2" s="2"/>
      <c r="E2" s="2"/>
      <c r="F2" s="2"/>
      <c r="G2" s="2"/>
      <c r="H2" s="2"/>
      <c r="I2" s="2"/>
      <c r="J2" s="2"/>
      <c r="K2" s="2"/>
      <c r="L2" s="2"/>
      <c r="M2" s="5"/>
    </row>
    <row r="3" spans="1:13" customFormat="1" x14ac:dyDescent="0.2">
      <c r="A3" s="307" t="s">
        <v>76</v>
      </c>
      <c r="B3" s="308"/>
      <c r="C3" s="308"/>
      <c r="D3" s="309"/>
      <c r="E3" s="2"/>
      <c r="F3" s="2"/>
      <c r="G3" s="2"/>
      <c r="H3" s="2"/>
      <c r="I3" s="2"/>
      <c r="J3" s="2"/>
      <c r="K3" s="2"/>
      <c r="L3" s="2"/>
      <c r="M3" s="5"/>
    </row>
    <row r="4" spans="1:13" customFormat="1" x14ac:dyDescent="0.2">
      <c r="A4" s="310"/>
      <c r="B4" s="311"/>
      <c r="C4" s="311"/>
      <c r="D4" s="312"/>
      <c r="E4" s="2"/>
      <c r="F4" s="2"/>
      <c r="G4" s="2"/>
      <c r="H4" s="2"/>
      <c r="I4" s="2"/>
      <c r="J4" s="2"/>
      <c r="K4" s="2"/>
      <c r="L4" s="2"/>
      <c r="M4" s="5"/>
    </row>
    <row r="5" spans="1:13" customFormat="1" x14ac:dyDescent="0.2">
      <c r="A5" s="302" t="s">
        <v>77</v>
      </c>
      <c r="B5" s="303"/>
      <c r="C5" s="303"/>
      <c r="D5" s="304"/>
      <c r="E5" s="2"/>
      <c r="F5" s="2"/>
      <c r="G5" s="2"/>
      <c r="H5" s="2"/>
      <c r="I5" s="2"/>
      <c r="J5" s="2"/>
      <c r="K5" s="2"/>
      <c r="L5" s="2"/>
      <c r="M5" s="5"/>
    </row>
    <row r="6" spans="1:13" customFormat="1" x14ac:dyDescent="0.2">
      <c r="A6" s="302" t="s">
        <v>78</v>
      </c>
      <c r="B6" s="303"/>
      <c r="C6" s="303"/>
      <c r="D6" s="304"/>
      <c r="E6" s="2"/>
      <c r="F6" s="2"/>
      <c r="G6" s="2"/>
      <c r="H6" s="2"/>
      <c r="I6" s="2"/>
      <c r="J6" s="2"/>
      <c r="K6" s="2"/>
      <c r="L6" s="2"/>
      <c r="M6" s="5"/>
    </row>
    <row r="7" spans="1:13" customFormat="1" x14ac:dyDescent="0.2">
      <c r="A7" s="302" t="s">
        <v>79</v>
      </c>
      <c r="B7" s="303"/>
      <c r="C7" s="303"/>
      <c r="D7" s="304"/>
      <c r="E7" s="2"/>
      <c r="F7" s="2"/>
      <c r="G7" s="2"/>
      <c r="H7" s="2"/>
      <c r="I7" s="2"/>
      <c r="J7" s="2"/>
      <c r="K7" s="2"/>
      <c r="L7" s="2"/>
      <c r="M7" s="5"/>
    </row>
    <row r="8" spans="1:13" customFormat="1" ht="17" thickBot="1" x14ac:dyDescent="0.25">
      <c r="A8" s="313" t="s">
        <v>80</v>
      </c>
      <c r="B8" s="314"/>
      <c r="C8" s="314"/>
      <c r="D8" s="315"/>
      <c r="E8" s="2"/>
      <c r="F8" s="2"/>
      <c r="G8" s="2"/>
      <c r="H8" s="2"/>
      <c r="I8" s="2"/>
      <c r="J8" s="2"/>
      <c r="K8" s="2"/>
      <c r="L8" s="2"/>
      <c r="M8" s="5"/>
    </row>
    <row r="9" spans="1:13" customFormat="1" ht="17" thickBot="1" x14ac:dyDescent="0.25">
      <c r="A9" s="4"/>
      <c r="B9" s="2"/>
      <c r="C9" s="2"/>
      <c r="D9" s="2"/>
      <c r="E9" s="2"/>
      <c r="F9" s="2"/>
      <c r="G9" s="2"/>
      <c r="H9" s="2"/>
      <c r="I9" s="2"/>
      <c r="J9" s="2"/>
      <c r="K9" s="2"/>
      <c r="L9" s="2"/>
      <c r="M9" s="5"/>
    </row>
    <row r="10" spans="1:13" customFormat="1" x14ac:dyDescent="0.2">
      <c r="A10" s="4"/>
      <c r="B10" s="316" t="s">
        <v>81</v>
      </c>
      <c r="C10" s="317"/>
      <c r="D10" s="2"/>
      <c r="E10" s="2"/>
      <c r="F10" s="2"/>
      <c r="G10" s="2"/>
      <c r="H10" s="2"/>
      <c r="I10" s="2"/>
      <c r="J10" s="2"/>
      <c r="K10" s="2"/>
      <c r="L10" s="2"/>
      <c r="M10" s="5"/>
    </row>
    <row r="11" spans="1:13" customFormat="1" x14ac:dyDescent="0.2">
      <c r="A11" s="4"/>
      <c r="B11" s="73" t="s">
        <v>82</v>
      </c>
      <c r="C11" s="74">
        <f>DadosDep!B12</f>
        <v>3</v>
      </c>
      <c r="D11" s="75"/>
      <c r="E11" s="2"/>
      <c r="F11" s="2"/>
      <c r="G11" s="2"/>
      <c r="H11" s="2"/>
      <c r="I11" s="2"/>
      <c r="J11" s="2"/>
      <c r="K11" s="2"/>
      <c r="L11" s="2"/>
      <c r="M11" s="5"/>
    </row>
    <row r="12" spans="1:13" customFormat="1" x14ac:dyDescent="0.2">
      <c r="A12" s="4"/>
      <c r="B12" s="73" t="s">
        <v>83</v>
      </c>
      <c r="C12" s="74">
        <f>DadosDep!B13</f>
        <v>5</v>
      </c>
      <c r="D12" s="2"/>
      <c r="E12" s="2"/>
      <c r="F12" s="2"/>
      <c r="G12" s="2"/>
      <c r="H12" s="2"/>
      <c r="I12" s="2"/>
      <c r="J12" s="2"/>
      <c r="K12" s="2"/>
      <c r="L12" s="2"/>
      <c r="M12" s="5"/>
    </row>
    <row r="13" spans="1:13" customFormat="1" ht="17" thickBot="1" x14ac:dyDescent="0.25">
      <c r="A13" s="4"/>
      <c r="B13" s="76" t="s">
        <v>57</v>
      </c>
      <c r="C13" s="67">
        <f>DadosDep!B14</f>
        <v>10</v>
      </c>
      <c r="D13" s="2"/>
      <c r="E13" s="2"/>
      <c r="F13" s="2"/>
      <c r="G13" s="2"/>
      <c r="H13" s="2"/>
      <c r="I13" s="2"/>
      <c r="J13" s="2"/>
      <c r="K13" s="2"/>
      <c r="L13" s="2"/>
      <c r="M13" s="5"/>
    </row>
    <row r="14" spans="1:13" customFormat="1" ht="17" thickBot="1" x14ac:dyDescent="0.25">
      <c r="A14" s="4"/>
      <c r="B14" s="2"/>
      <c r="C14" s="2"/>
      <c r="D14" s="2"/>
      <c r="E14" s="2"/>
      <c r="F14" s="2"/>
      <c r="G14" s="2"/>
      <c r="H14" s="2"/>
      <c r="I14" s="2"/>
      <c r="J14" s="2"/>
      <c r="K14" s="2"/>
      <c r="L14" s="2"/>
      <c r="M14" s="5"/>
    </row>
    <row r="15" spans="1:13" customFormat="1" x14ac:dyDescent="0.2">
      <c r="A15" s="4"/>
      <c r="B15" s="316" t="s">
        <v>84</v>
      </c>
      <c r="C15" s="318"/>
      <c r="D15" s="317"/>
      <c r="E15" s="2"/>
      <c r="F15" s="2"/>
      <c r="G15" s="2"/>
      <c r="H15" s="2"/>
      <c r="I15" s="2"/>
      <c r="J15" s="2"/>
      <c r="K15" s="2"/>
      <c r="L15" s="2"/>
      <c r="M15" s="5"/>
    </row>
    <row r="16" spans="1:13" customFormat="1" ht="17" thickBot="1" x14ac:dyDescent="0.25">
      <c r="A16" s="4"/>
      <c r="B16" s="77" t="s">
        <v>17</v>
      </c>
      <c r="C16" s="68">
        <f>IF(C25&gt;=(100-C13),100-C13,C25)</f>
        <v>43.199999999999996</v>
      </c>
      <c r="D16" s="78" t="s">
        <v>7</v>
      </c>
      <c r="E16" s="2"/>
      <c r="F16" s="2"/>
      <c r="G16" s="2"/>
      <c r="H16" s="2"/>
      <c r="I16" s="2"/>
      <c r="J16" s="2"/>
      <c r="K16" s="2"/>
      <c r="L16" s="2"/>
      <c r="M16" s="5"/>
    </row>
    <row r="17" spans="1:13" customFormat="1" x14ac:dyDescent="0.2">
      <c r="A17" s="4"/>
      <c r="B17" s="2"/>
      <c r="C17" s="2"/>
      <c r="D17" s="2"/>
      <c r="E17" s="2"/>
      <c r="F17" s="2"/>
      <c r="G17" s="2"/>
      <c r="H17" s="2"/>
      <c r="I17" s="2"/>
      <c r="J17" s="2"/>
      <c r="K17" s="2"/>
      <c r="L17" s="2"/>
      <c r="M17" s="5"/>
    </row>
    <row r="18" spans="1:13" customFormat="1" x14ac:dyDescent="0.2">
      <c r="A18" s="4"/>
      <c r="B18" s="79"/>
      <c r="C18" s="80"/>
      <c r="D18" s="2"/>
      <c r="E18" s="2"/>
      <c r="F18" s="2"/>
      <c r="G18" s="2"/>
      <c r="H18" s="2"/>
      <c r="I18" s="2"/>
      <c r="J18" s="2"/>
      <c r="K18" s="2"/>
      <c r="L18" s="2"/>
      <c r="M18" s="5"/>
    </row>
    <row r="19" spans="1:13" customFormat="1" x14ac:dyDescent="0.2">
      <c r="A19" s="4"/>
      <c r="B19" s="81"/>
      <c r="C19" s="82"/>
      <c r="D19" s="2"/>
      <c r="E19" s="2"/>
      <c r="F19" s="2"/>
      <c r="G19" s="2"/>
      <c r="H19" s="2"/>
      <c r="I19" s="2"/>
      <c r="J19" s="2"/>
      <c r="K19" s="2"/>
      <c r="L19" s="2"/>
      <c r="M19" s="5"/>
    </row>
    <row r="20" spans="1:13" customFormat="1" x14ac:dyDescent="0.2">
      <c r="A20" s="4"/>
      <c r="B20" s="81"/>
      <c r="C20" s="82"/>
      <c r="D20" s="2"/>
      <c r="E20" s="2"/>
      <c r="F20" s="2"/>
      <c r="G20" s="2"/>
      <c r="H20" s="2"/>
      <c r="I20" s="2"/>
      <c r="J20" s="2"/>
      <c r="K20" s="2"/>
      <c r="L20" s="2"/>
      <c r="M20" s="5"/>
    </row>
    <row r="21" spans="1:13" customFormat="1" x14ac:dyDescent="0.2">
      <c r="A21" s="4"/>
      <c r="B21" s="81"/>
      <c r="C21" s="82"/>
      <c r="D21" s="2"/>
      <c r="E21" s="2"/>
      <c r="F21" s="2"/>
      <c r="G21" s="2"/>
      <c r="H21" s="2"/>
      <c r="I21" s="2"/>
      <c r="J21" s="2"/>
      <c r="K21" s="2"/>
      <c r="L21" s="2"/>
      <c r="M21" s="5"/>
    </row>
    <row r="22" spans="1:13" customFormat="1" x14ac:dyDescent="0.2">
      <c r="A22" s="4"/>
      <c r="B22" s="83"/>
      <c r="C22" s="84"/>
      <c r="D22" s="2"/>
      <c r="E22" s="2"/>
      <c r="F22" s="2"/>
      <c r="G22" s="2"/>
      <c r="H22" s="2"/>
      <c r="I22" s="2"/>
      <c r="J22" s="2"/>
      <c r="K22" s="2"/>
      <c r="L22" s="2"/>
      <c r="M22" s="5"/>
    </row>
    <row r="23" spans="1:13" customFormat="1" ht="17" thickBot="1" x14ac:dyDescent="0.25">
      <c r="A23" s="25"/>
      <c r="B23" s="26"/>
      <c r="C23" s="26"/>
      <c r="D23" s="26"/>
      <c r="E23" s="319" t="s">
        <v>85</v>
      </c>
      <c r="F23" s="319"/>
      <c r="G23" s="87">
        <f>DadosDep!B18</f>
        <v>550000</v>
      </c>
      <c r="H23" s="319" t="s">
        <v>86</v>
      </c>
      <c r="I23" s="319"/>
      <c r="J23" s="88">
        <f>G23-(G23*C16/100)</f>
        <v>312400</v>
      </c>
      <c r="K23" s="26"/>
      <c r="L23" s="26"/>
      <c r="M23" s="27"/>
    </row>
    <row r="24" spans="1:13" customFormat="1" x14ac:dyDescent="0.2">
      <c r="A24" s="1"/>
      <c r="B24" s="1"/>
      <c r="C24" s="1"/>
      <c r="D24" s="1"/>
      <c r="E24" s="1"/>
      <c r="F24" s="1"/>
      <c r="G24" s="1"/>
      <c r="H24" s="1"/>
      <c r="I24" s="1"/>
      <c r="J24" s="1"/>
      <c r="K24" s="1"/>
      <c r="L24" s="1"/>
      <c r="M24" s="1"/>
    </row>
    <row r="25" spans="1:13" customFormat="1" x14ac:dyDescent="0.2">
      <c r="A25" s="1"/>
      <c r="B25" s="1"/>
      <c r="C25" s="69">
        <f>100*((1-($C$13/100))/2)*((C11/$C$12)*(C11/$C$12)+(C11/$C$12))</f>
        <v>43.199999999999996</v>
      </c>
      <c r="D25" s="1"/>
      <c r="E25" s="1"/>
      <c r="F25" s="1"/>
      <c r="G25" s="1"/>
      <c r="H25" s="1"/>
      <c r="I25" s="1"/>
      <c r="J25" s="1"/>
      <c r="K25" s="1"/>
      <c r="L25" s="1"/>
      <c r="M25" s="1"/>
    </row>
    <row r="26" spans="1:13" customFormat="1" x14ac:dyDescent="0.2">
      <c r="A26" s="1"/>
      <c r="B26" s="1"/>
      <c r="C26" s="1"/>
      <c r="D26" s="1"/>
      <c r="E26" s="1"/>
      <c r="F26" s="1"/>
      <c r="G26" s="1"/>
      <c r="H26" s="1"/>
      <c r="I26" s="1"/>
      <c r="J26" s="1"/>
      <c r="K26" s="1"/>
      <c r="L26" s="1"/>
      <c r="M26" s="1"/>
    </row>
    <row r="27" spans="1:13" customFormat="1" x14ac:dyDescent="0.2">
      <c r="A27" s="1"/>
      <c r="B27" s="1"/>
      <c r="D27" s="1"/>
      <c r="E27" s="1"/>
      <c r="F27" s="1"/>
      <c r="G27" s="1"/>
      <c r="H27" s="1"/>
      <c r="I27" s="1"/>
      <c r="J27" s="1"/>
      <c r="K27" s="1"/>
      <c r="L27" s="1"/>
      <c r="M27" s="1"/>
    </row>
    <row r="28" spans="1:13" customFormat="1" x14ac:dyDescent="0.2">
      <c r="A28" s="1"/>
      <c r="B28" s="1"/>
      <c r="C28" s="1"/>
      <c r="D28" s="1"/>
      <c r="E28" s="1"/>
      <c r="F28" s="1"/>
      <c r="G28" s="1"/>
      <c r="H28" s="1"/>
      <c r="I28" s="1"/>
      <c r="J28" s="1"/>
      <c r="K28" s="1"/>
      <c r="L28" s="1"/>
      <c r="M28" s="1"/>
    </row>
    <row r="29" spans="1:13" customFormat="1" x14ac:dyDescent="0.2">
      <c r="A29" s="1"/>
      <c r="B29" s="1"/>
      <c r="C29" s="1"/>
      <c r="D29" s="1"/>
      <c r="E29" s="1"/>
      <c r="F29" s="1"/>
      <c r="G29" s="1"/>
      <c r="H29" s="1"/>
      <c r="I29" s="1"/>
      <c r="J29" s="1"/>
      <c r="K29" s="1"/>
      <c r="L29" s="1"/>
      <c r="M29" s="1"/>
    </row>
    <row r="30" spans="1:13" customFormat="1" x14ac:dyDescent="0.2">
      <c r="A30" s="1"/>
      <c r="B30" s="1"/>
      <c r="C30" s="1"/>
      <c r="D30" s="1"/>
      <c r="E30" s="1"/>
      <c r="F30" s="1"/>
      <c r="G30" s="1"/>
      <c r="H30" s="1"/>
      <c r="I30" s="1"/>
      <c r="J30" s="1"/>
      <c r="K30" s="1"/>
      <c r="L30" s="1"/>
      <c r="M30" s="1"/>
    </row>
    <row r="31" spans="1:13" customFormat="1" x14ac:dyDescent="0.2">
      <c r="A31" s="1"/>
      <c r="B31" s="1"/>
      <c r="C31" s="1"/>
      <c r="D31" s="1"/>
      <c r="E31" s="1"/>
      <c r="F31" s="1"/>
      <c r="G31" s="1"/>
      <c r="H31" s="1"/>
      <c r="I31" s="1"/>
      <c r="J31" s="1"/>
      <c r="K31" s="1"/>
      <c r="L31" s="1"/>
      <c r="M31" s="1"/>
    </row>
    <row r="32" spans="1:13" customFormat="1" x14ac:dyDescent="0.2">
      <c r="A32" s="1"/>
      <c r="B32" s="1"/>
      <c r="C32" s="1"/>
      <c r="D32" s="1"/>
      <c r="E32" s="1"/>
      <c r="F32" s="1"/>
      <c r="G32" s="1"/>
      <c r="H32" s="1"/>
      <c r="I32" s="1"/>
      <c r="J32" s="1"/>
      <c r="K32" s="1"/>
      <c r="L32" s="1"/>
      <c r="M32" s="1"/>
    </row>
    <row r="33" spans="1:3" s="1" customFormat="1" x14ac:dyDescent="0.2"/>
    <row r="34" spans="1:3" s="1" customFormat="1" x14ac:dyDescent="0.2"/>
    <row r="35" spans="1:3" s="1" customFormat="1" x14ac:dyDescent="0.2"/>
    <row r="36" spans="1:3" s="1" customFormat="1" x14ac:dyDescent="0.2"/>
    <row r="37" spans="1:3" s="1" customFormat="1" x14ac:dyDescent="0.2"/>
    <row r="38" spans="1:3" s="1" customFormat="1" x14ac:dyDescent="0.2"/>
    <row r="39" spans="1:3" s="1" customFormat="1" x14ac:dyDescent="0.2"/>
    <row r="40" spans="1:3" s="1" customFormat="1" x14ac:dyDescent="0.2"/>
    <row r="41" spans="1:3" s="1" customFormat="1" x14ac:dyDescent="0.2"/>
    <row r="42" spans="1:3" customFormat="1" x14ac:dyDescent="0.2">
      <c r="C42" s="85"/>
    </row>
    <row r="43" spans="1:3" customFormat="1" x14ac:dyDescent="0.2">
      <c r="A43" s="70">
        <f t="shared" ref="A43:A63" si="0">$C$12*B43/100</f>
        <v>0</v>
      </c>
      <c r="B43" s="86">
        <v>0</v>
      </c>
      <c r="C43" s="71">
        <f t="shared" ref="C43:C63" si="1">100*((1-($C$13/100))/2)*((A43/$C$12)*(A43/$C$12)+(A43/$C$12))</f>
        <v>0</v>
      </c>
    </row>
    <row r="44" spans="1:3" customFormat="1" x14ac:dyDescent="0.2">
      <c r="A44" s="70">
        <f t="shared" si="0"/>
        <v>0.25</v>
      </c>
      <c r="B44" s="86">
        <v>5</v>
      </c>
      <c r="C44" s="71">
        <f t="shared" si="1"/>
        <v>2.3625000000000003</v>
      </c>
    </row>
    <row r="45" spans="1:3" customFormat="1" x14ac:dyDescent="0.2">
      <c r="A45" s="70">
        <f t="shared" si="0"/>
        <v>0.5</v>
      </c>
      <c r="B45" s="86">
        <v>10</v>
      </c>
      <c r="C45" s="71">
        <f t="shared" si="1"/>
        <v>4.9500000000000011</v>
      </c>
    </row>
    <row r="46" spans="1:3" customFormat="1" x14ac:dyDescent="0.2">
      <c r="A46" s="70">
        <f t="shared" si="0"/>
        <v>0.75</v>
      </c>
      <c r="B46" s="86">
        <v>15</v>
      </c>
      <c r="C46" s="71">
        <f t="shared" si="1"/>
        <v>7.7624999999999993</v>
      </c>
    </row>
    <row r="47" spans="1:3" customFormat="1" x14ac:dyDescent="0.2">
      <c r="A47" s="70">
        <f t="shared" si="0"/>
        <v>1</v>
      </c>
      <c r="B47" s="86">
        <v>20</v>
      </c>
      <c r="C47" s="71">
        <f t="shared" si="1"/>
        <v>10.8</v>
      </c>
    </row>
    <row r="48" spans="1:3" customFormat="1" x14ac:dyDescent="0.2">
      <c r="A48" s="70">
        <f t="shared" si="0"/>
        <v>1.25</v>
      </c>
      <c r="B48" s="86">
        <v>25</v>
      </c>
      <c r="C48" s="71">
        <f t="shared" si="1"/>
        <v>14.0625</v>
      </c>
    </row>
    <row r="49" spans="1:3" customFormat="1" x14ac:dyDescent="0.2">
      <c r="A49" s="70">
        <f t="shared" si="0"/>
        <v>1.5</v>
      </c>
      <c r="B49" s="86">
        <v>30</v>
      </c>
      <c r="C49" s="71">
        <f t="shared" si="1"/>
        <v>17.55</v>
      </c>
    </row>
    <row r="50" spans="1:3" customFormat="1" x14ac:dyDescent="0.2">
      <c r="A50" s="70">
        <f t="shared" si="0"/>
        <v>1.75</v>
      </c>
      <c r="B50" s="86">
        <v>35</v>
      </c>
      <c r="C50" s="71">
        <f t="shared" si="1"/>
        <v>21.262499999999999</v>
      </c>
    </row>
    <row r="51" spans="1:3" customFormat="1" x14ac:dyDescent="0.2">
      <c r="A51" s="70">
        <f t="shared" si="0"/>
        <v>2</v>
      </c>
      <c r="B51" s="86">
        <v>40</v>
      </c>
      <c r="C51" s="71">
        <f t="shared" si="1"/>
        <v>25.200000000000003</v>
      </c>
    </row>
    <row r="52" spans="1:3" customFormat="1" x14ac:dyDescent="0.2">
      <c r="A52" s="70">
        <f t="shared" si="0"/>
        <v>2.25</v>
      </c>
      <c r="B52" s="86">
        <v>45</v>
      </c>
      <c r="C52" s="71">
        <f t="shared" si="1"/>
        <v>29.362500000000004</v>
      </c>
    </row>
    <row r="53" spans="1:3" customFormat="1" x14ac:dyDescent="0.2">
      <c r="A53" s="70">
        <f t="shared" si="0"/>
        <v>2.5</v>
      </c>
      <c r="B53" s="86">
        <v>50</v>
      </c>
      <c r="C53" s="71">
        <f t="shared" si="1"/>
        <v>33.75</v>
      </c>
    </row>
    <row r="54" spans="1:3" customFormat="1" x14ac:dyDescent="0.2">
      <c r="A54" s="70">
        <f t="shared" si="0"/>
        <v>2.75</v>
      </c>
      <c r="B54" s="86">
        <v>55</v>
      </c>
      <c r="C54" s="71">
        <f t="shared" si="1"/>
        <v>38.362500000000004</v>
      </c>
    </row>
    <row r="55" spans="1:3" customFormat="1" x14ac:dyDescent="0.2">
      <c r="A55" s="70">
        <f t="shared" si="0"/>
        <v>3</v>
      </c>
      <c r="B55" s="86">
        <v>60</v>
      </c>
      <c r="C55" s="71">
        <f t="shared" si="1"/>
        <v>43.199999999999996</v>
      </c>
    </row>
    <row r="56" spans="1:3" customFormat="1" x14ac:dyDescent="0.2">
      <c r="A56" s="70">
        <f t="shared" si="0"/>
        <v>3.25</v>
      </c>
      <c r="B56" s="86">
        <v>65</v>
      </c>
      <c r="C56" s="71">
        <f t="shared" si="1"/>
        <v>48.262500000000003</v>
      </c>
    </row>
    <row r="57" spans="1:3" customFormat="1" x14ac:dyDescent="0.2">
      <c r="A57" s="70">
        <f t="shared" si="0"/>
        <v>3.5</v>
      </c>
      <c r="B57" s="86">
        <v>70</v>
      </c>
      <c r="C57" s="71">
        <f t="shared" si="1"/>
        <v>53.55</v>
      </c>
    </row>
    <row r="58" spans="1:3" customFormat="1" x14ac:dyDescent="0.2">
      <c r="A58" s="70">
        <f t="shared" si="0"/>
        <v>3.75</v>
      </c>
      <c r="B58" s="86">
        <v>75</v>
      </c>
      <c r="C58" s="71">
        <f t="shared" si="1"/>
        <v>59.0625</v>
      </c>
    </row>
    <row r="59" spans="1:3" customFormat="1" x14ac:dyDescent="0.2">
      <c r="A59" s="70">
        <f t="shared" si="0"/>
        <v>4</v>
      </c>
      <c r="B59" s="86">
        <v>80</v>
      </c>
      <c r="C59" s="71">
        <f t="shared" si="1"/>
        <v>64.800000000000011</v>
      </c>
    </row>
    <row r="60" spans="1:3" customFormat="1" x14ac:dyDescent="0.2">
      <c r="A60" s="70">
        <f t="shared" si="0"/>
        <v>4.25</v>
      </c>
      <c r="B60" s="86">
        <v>85</v>
      </c>
      <c r="C60" s="71">
        <f t="shared" si="1"/>
        <v>70.762499999999989</v>
      </c>
    </row>
    <row r="61" spans="1:3" customFormat="1" x14ac:dyDescent="0.2">
      <c r="A61" s="70">
        <f t="shared" si="0"/>
        <v>4.5</v>
      </c>
      <c r="B61" s="86">
        <v>90</v>
      </c>
      <c r="C61" s="71">
        <f t="shared" si="1"/>
        <v>76.95</v>
      </c>
    </row>
    <row r="62" spans="1:3" customFormat="1" x14ac:dyDescent="0.2">
      <c r="A62" s="70">
        <f t="shared" si="0"/>
        <v>4.75</v>
      </c>
      <c r="B62" s="86">
        <v>95</v>
      </c>
      <c r="C62" s="71">
        <f t="shared" si="1"/>
        <v>83.362499999999997</v>
      </c>
    </row>
    <row r="63" spans="1:3" customFormat="1" x14ac:dyDescent="0.2">
      <c r="A63" s="70">
        <f t="shared" si="0"/>
        <v>5</v>
      </c>
      <c r="B63" s="86">
        <v>100</v>
      </c>
      <c r="C63" s="71">
        <f t="shared" si="1"/>
        <v>90</v>
      </c>
    </row>
  </sheetData>
  <mergeCells count="11">
    <mergeCell ref="A8:D8"/>
    <mergeCell ref="B10:C10"/>
    <mergeCell ref="B15:D15"/>
    <mergeCell ref="E23:F23"/>
    <mergeCell ref="H23:I23"/>
    <mergeCell ref="A7:D7"/>
    <mergeCell ref="A1:F1"/>
    <mergeCell ref="A3:D3"/>
    <mergeCell ref="A4:D4"/>
    <mergeCell ref="A5:D5"/>
    <mergeCell ref="A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5"/>
  <sheetViews>
    <sheetView workbookViewId="0">
      <selection activeCell="R55" sqref="R55"/>
    </sheetView>
  </sheetViews>
  <sheetFormatPr baseColWidth="10" defaultColWidth="7.6640625" defaultRowHeight="16" x14ac:dyDescent="0.2"/>
  <cols>
    <col min="1" max="1" width="4.1640625" style="1" customWidth="1"/>
    <col min="2" max="2" width="1.33203125" style="1" customWidth="1"/>
    <col min="3" max="3" width="19" style="1" customWidth="1"/>
    <col min="4" max="4" width="9.83203125" style="1" customWidth="1"/>
    <col min="5" max="5" width="5.33203125" style="1" customWidth="1"/>
    <col min="6" max="6" width="7.6640625" style="1"/>
    <col min="7" max="7" width="10" style="1" customWidth="1"/>
    <col min="8" max="8" width="10.1640625" style="1" customWidth="1"/>
    <col min="9" max="9" width="17.6640625" style="1" bestFit="1" customWidth="1"/>
    <col min="10" max="10" width="6.1640625" style="1" customWidth="1"/>
    <col min="11" max="11" width="10.6640625" style="1" customWidth="1"/>
    <col min="12" max="12" width="12.5" style="1" customWidth="1"/>
    <col min="13" max="13" width="11.6640625" style="1" customWidth="1"/>
    <col min="14" max="14" width="12.33203125" style="1" customWidth="1"/>
    <col min="15" max="17" width="7.6640625" style="1"/>
    <col min="18" max="18" width="8.83203125" style="1" bestFit="1" customWidth="1"/>
    <col min="19" max="16384" width="7.6640625" style="1"/>
  </cols>
  <sheetData>
    <row r="1" spans="1:14" ht="17" thickBot="1" x14ac:dyDescent="0.25">
      <c r="A1" s="4"/>
    </row>
    <row r="2" spans="1:14" x14ac:dyDescent="0.2">
      <c r="A2" s="4"/>
      <c r="B2" s="9"/>
      <c r="C2" s="10"/>
      <c r="D2" s="10"/>
      <c r="E2" s="10"/>
      <c r="F2" s="10"/>
      <c r="G2" s="10"/>
      <c r="H2" s="10"/>
      <c r="I2" s="10"/>
      <c r="J2" s="10"/>
      <c r="K2" s="10"/>
      <c r="L2" s="10"/>
      <c r="M2" s="10"/>
      <c r="N2" s="11"/>
    </row>
    <row r="3" spans="1:14" ht="21" x14ac:dyDescent="0.25">
      <c r="A3" s="4"/>
      <c r="B3" s="4"/>
      <c r="C3" s="326" t="s">
        <v>87</v>
      </c>
      <c r="D3" s="326"/>
      <c r="E3" s="247"/>
      <c r="F3" s="247"/>
      <c r="G3" s="333" t="s">
        <v>85</v>
      </c>
      <c r="H3" s="333"/>
      <c r="I3" s="248">
        <f>DadosDep!B18</f>
        <v>550000</v>
      </c>
      <c r="J3" s="2"/>
      <c r="K3" s="2"/>
      <c r="L3" s="2"/>
      <c r="M3" s="2"/>
      <c r="N3" s="5"/>
    </row>
    <row r="4" spans="1:14" x14ac:dyDescent="0.2">
      <c r="A4" s="4"/>
      <c r="B4" s="4"/>
      <c r="C4" s="327"/>
      <c r="D4" s="2"/>
      <c r="E4" s="2"/>
      <c r="F4" s="2"/>
      <c r="G4" s="2"/>
      <c r="H4" s="2"/>
      <c r="I4" s="2"/>
      <c r="J4" s="2"/>
      <c r="K4" s="2"/>
      <c r="L4" s="2"/>
      <c r="M4" s="2"/>
      <c r="N4" s="5"/>
    </row>
    <row r="5" spans="1:14" ht="21" x14ac:dyDescent="0.25">
      <c r="A5" s="4"/>
      <c r="B5" s="4"/>
      <c r="C5" s="327"/>
      <c r="D5" s="2"/>
      <c r="E5" s="2"/>
      <c r="F5" s="2"/>
      <c r="G5" s="247"/>
      <c r="H5" s="249" t="s">
        <v>94</v>
      </c>
      <c r="I5" s="250">
        <f>DadosDep!B30</f>
        <v>187583.87796929077</v>
      </c>
      <c r="J5" s="250"/>
      <c r="K5" s="2"/>
      <c r="L5" s="2"/>
      <c r="M5" s="2"/>
      <c r="N5" s="5"/>
    </row>
    <row r="6" spans="1:14" ht="18" x14ac:dyDescent="0.2">
      <c r="A6" s="4"/>
      <c r="B6" s="4"/>
      <c r="C6" s="39"/>
      <c r="D6" s="2"/>
      <c r="E6" s="2"/>
      <c r="F6" s="2"/>
      <c r="G6" s="2"/>
      <c r="H6" s="2"/>
      <c r="I6" s="2"/>
      <c r="J6" s="2"/>
      <c r="K6" s="2"/>
      <c r="L6" s="2"/>
      <c r="M6" s="2"/>
      <c r="N6" s="5"/>
    </row>
    <row r="7" spans="1:14" ht="17" thickBot="1" x14ac:dyDescent="0.25">
      <c r="A7" s="4"/>
      <c r="B7" s="4"/>
      <c r="C7" s="311" t="s">
        <v>88</v>
      </c>
      <c r="D7" s="311"/>
      <c r="E7" s="2"/>
      <c r="F7" s="2"/>
      <c r="G7" s="2"/>
      <c r="H7" s="2"/>
      <c r="I7" s="2"/>
      <c r="J7" s="2"/>
      <c r="K7" s="2"/>
      <c r="L7" s="2"/>
      <c r="M7" s="2"/>
      <c r="N7" s="5"/>
    </row>
    <row r="8" spans="1:14" ht="17" thickBot="1" x14ac:dyDescent="0.25">
      <c r="A8" s="4"/>
      <c r="B8" s="4"/>
      <c r="C8" s="89" t="s">
        <v>89</v>
      </c>
      <c r="D8" s="328">
        <f>1-(1.347961431/(1+0.347961431*EXP(3.579761431*M29*(DadosDep!B12/DadosDep!B13))))</f>
        <v>0.65893840369219858</v>
      </c>
      <c r="E8" s="329"/>
      <c r="F8" s="2"/>
      <c r="G8" s="2"/>
      <c r="H8" s="2"/>
      <c r="I8" s="2"/>
      <c r="J8" s="2"/>
      <c r="K8" s="2"/>
      <c r="L8" s="2"/>
      <c r="M8" s="2"/>
      <c r="N8" s="5"/>
    </row>
    <row r="9" spans="1:14" x14ac:dyDescent="0.2">
      <c r="A9" s="4"/>
      <c r="B9" s="4"/>
      <c r="C9" s="90"/>
      <c r="D9" s="91"/>
      <c r="E9" s="2"/>
      <c r="F9" s="2"/>
      <c r="G9" s="2"/>
      <c r="H9" s="2"/>
      <c r="I9" s="2"/>
      <c r="J9" s="2"/>
      <c r="K9" s="2"/>
      <c r="L9" s="2"/>
      <c r="M9" s="2"/>
      <c r="N9" s="5"/>
    </row>
    <row r="10" spans="1:14" x14ac:dyDescent="0.2">
      <c r="A10" s="4"/>
      <c r="B10" s="4"/>
      <c r="C10" s="330" t="s">
        <v>90</v>
      </c>
      <c r="D10" s="330"/>
      <c r="E10" s="2"/>
      <c r="F10" s="2"/>
      <c r="G10" s="2"/>
      <c r="H10" s="2"/>
      <c r="I10" s="2"/>
      <c r="J10" s="2"/>
      <c r="K10" s="2"/>
      <c r="L10" s="2"/>
      <c r="M10" s="2"/>
      <c r="N10" s="5"/>
    </row>
    <row r="11" spans="1:14" x14ac:dyDescent="0.2">
      <c r="A11" s="4"/>
      <c r="B11" s="4"/>
      <c r="C11" s="50" t="s">
        <v>91</v>
      </c>
      <c r="D11" s="92" t="str">
        <f>VLOOKUP(E11,D21:E25,2,1)</f>
        <v>Normal</v>
      </c>
      <c r="E11" s="93">
        <f>DadosDep!H23</f>
        <v>10</v>
      </c>
      <c r="F11" s="2"/>
      <c r="G11" s="2"/>
      <c r="H11" s="2"/>
      <c r="I11" s="2"/>
      <c r="J11" s="2"/>
      <c r="K11" s="2"/>
      <c r="L11" s="2"/>
      <c r="M11" s="2"/>
      <c r="N11" s="5"/>
    </row>
    <row r="12" spans="1:14" x14ac:dyDescent="0.2">
      <c r="A12" s="4"/>
      <c r="B12" s="4"/>
      <c r="C12" s="50" t="s">
        <v>42</v>
      </c>
      <c r="D12" s="92" t="str">
        <f>VLOOKUP(E12,D28:E32,2,1)</f>
        <v>Normal</v>
      </c>
      <c r="E12" s="93">
        <f>DadosDep!D23</f>
        <v>10</v>
      </c>
      <c r="F12" s="2"/>
      <c r="G12" s="2"/>
      <c r="H12" s="2"/>
      <c r="I12" s="2"/>
      <c r="J12" s="2"/>
      <c r="K12" s="2"/>
      <c r="L12" s="2"/>
      <c r="M12" s="2"/>
      <c r="N12" s="5"/>
    </row>
    <row r="13" spans="1:14" x14ac:dyDescent="0.2">
      <c r="A13" s="4"/>
      <c r="B13" s="4"/>
      <c r="C13" s="72" t="s">
        <v>92</v>
      </c>
      <c r="D13" s="331">
        <f>DadosDep!B12</f>
        <v>3</v>
      </c>
      <c r="E13" s="331"/>
      <c r="F13" s="2"/>
      <c r="G13" s="2"/>
      <c r="H13" s="2"/>
      <c r="I13" s="2"/>
      <c r="J13" s="2"/>
      <c r="K13" s="2"/>
      <c r="L13" s="2"/>
      <c r="M13" s="2"/>
      <c r="N13" s="5"/>
    </row>
    <row r="14" spans="1:14" x14ac:dyDescent="0.2">
      <c r="A14" s="4"/>
      <c r="B14" s="4"/>
      <c r="C14" s="50" t="s">
        <v>93</v>
      </c>
      <c r="D14" s="331">
        <f>DadosDep!B13</f>
        <v>5</v>
      </c>
      <c r="E14" s="331"/>
      <c r="F14" s="2"/>
      <c r="G14" s="2"/>
      <c r="H14" s="2"/>
      <c r="I14" s="2"/>
      <c r="J14" s="2"/>
      <c r="K14" s="2"/>
      <c r="L14" s="2"/>
      <c r="M14" s="2"/>
      <c r="N14" s="5"/>
    </row>
    <row r="15" spans="1:14" x14ac:dyDescent="0.2">
      <c r="A15" s="4"/>
      <c r="B15" s="4"/>
      <c r="C15" s="94"/>
      <c r="D15" s="94"/>
      <c r="E15" s="2"/>
      <c r="F15" s="2"/>
      <c r="G15" s="2"/>
      <c r="H15" s="2"/>
      <c r="I15" s="2"/>
      <c r="J15" s="2"/>
      <c r="K15" s="2"/>
      <c r="L15" s="2"/>
      <c r="M15" s="2"/>
      <c r="N15" s="5"/>
    </row>
    <row r="16" spans="1:14" x14ac:dyDescent="0.2">
      <c r="A16" s="4"/>
      <c r="B16" s="4"/>
      <c r="C16" s="95" t="s">
        <v>2</v>
      </c>
      <c r="D16" s="299">
        <f>DadosDep!B18</f>
        <v>550000</v>
      </c>
      <c r="E16" s="300"/>
      <c r="F16" s="2"/>
      <c r="G16" s="2"/>
      <c r="H16" s="2"/>
      <c r="I16" s="2"/>
      <c r="J16" s="2"/>
      <c r="K16" s="2"/>
      <c r="L16" s="2"/>
      <c r="M16" s="2"/>
      <c r="N16" s="5"/>
    </row>
    <row r="17" spans="1:14" x14ac:dyDescent="0.2">
      <c r="A17" s="4"/>
      <c r="B17" s="4"/>
      <c r="C17" s="95" t="s">
        <v>3</v>
      </c>
      <c r="D17" s="299">
        <f>DadosDep!B30</f>
        <v>187583.87796929077</v>
      </c>
      <c r="E17" s="332"/>
      <c r="F17" s="2"/>
      <c r="G17" s="2"/>
      <c r="H17" s="2"/>
      <c r="I17" s="2"/>
      <c r="J17" s="2"/>
      <c r="K17" s="2"/>
      <c r="L17" s="2"/>
      <c r="M17" s="2"/>
      <c r="N17" s="5"/>
    </row>
    <row r="18" spans="1:14" x14ac:dyDescent="0.2">
      <c r="A18" s="4"/>
      <c r="B18" s="4"/>
      <c r="F18" s="2"/>
      <c r="G18" s="2"/>
      <c r="H18" s="2"/>
      <c r="I18" s="2"/>
      <c r="J18" s="2"/>
      <c r="K18" s="2"/>
      <c r="L18" s="2"/>
      <c r="M18" s="2"/>
      <c r="N18" s="5"/>
    </row>
    <row r="19" spans="1:14" x14ac:dyDescent="0.2">
      <c r="A19" s="4"/>
      <c r="B19" s="4"/>
      <c r="C19" s="2"/>
      <c r="D19" s="2"/>
      <c r="E19" s="2"/>
      <c r="F19" s="2"/>
      <c r="G19" s="2"/>
      <c r="H19" s="2"/>
      <c r="I19" s="2"/>
      <c r="J19" s="2"/>
      <c r="K19" s="2"/>
      <c r="L19" s="2"/>
      <c r="M19" s="2"/>
      <c r="N19" s="5"/>
    </row>
    <row r="20" spans="1:14" x14ac:dyDescent="0.2">
      <c r="A20" s="4"/>
      <c r="B20" s="4"/>
      <c r="C20" s="334" t="s">
        <v>95</v>
      </c>
      <c r="D20" s="335"/>
      <c r="E20" s="2"/>
      <c r="F20" s="2"/>
      <c r="G20" s="2"/>
      <c r="H20" s="2"/>
      <c r="I20" s="2"/>
      <c r="J20" s="2"/>
      <c r="K20" s="2"/>
      <c r="L20" s="2"/>
      <c r="M20" s="2"/>
      <c r="N20" s="5"/>
    </row>
    <row r="21" spans="1:14" x14ac:dyDescent="0.2">
      <c r="A21" s="4"/>
      <c r="B21" s="4"/>
      <c r="C21" s="51" t="s">
        <v>45</v>
      </c>
      <c r="D21" s="51">
        <v>0</v>
      </c>
      <c r="E21" s="98" t="s">
        <v>45</v>
      </c>
      <c r="F21" s="2"/>
      <c r="G21" s="2"/>
      <c r="H21" s="2"/>
      <c r="I21" s="2"/>
      <c r="J21" s="2"/>
      <c r="K21" s="2"/>
      <c r="L21" s="2"/>
      <c r="M21" s="2"/>
      <c r="N21" s="5"/>
    </row>
    <row r="22" spans="1:14" x14ac:dyDescent="0.2">
      <c r="A22" s="4"/>
      <c r="B22" s="4"/>
      <c r="C22" s="51" t="s">
        <v>47</v>
      </c>
      <c r="D22" s="51">
        <v>5</v>
      </c>
      <c r="E22" s="98" t="s">
        <v>47</v>
      </c>
      <c r="F22" s="2"/>
      <c r="G22" s="2"/>
      <c r="H22" s="2"/>
      <c r="I22" s="2"/>
      <c r="J22" s="2"/>
      <c r="K22" s="2"/>
      <c r="L22" s="46" t="s">
        <v>96</v>
      </c>
      <c r="M22" s="251">
        <v>1.3479614310000001</v>
      </c>
      <c r="N22" s="5"/>
    </row>
    <row r="23" spans="1:14" x14ac:dyDescent="0.2">
      <c r="A23" s="4"/>
      <c r="B23" s="4"/>
      <c r="C23" s="51" t="s">
        <v>48</v>
      </c>
      <c r="D23" s="51">
        <v>10</v>
      </c>
      <c r="E23" s="98" t="s">
        <v>48</v>
      </c>
      <c r="F23" s="2"/>
      <c r="G23" s="2"/>
      <c r="H23" s="2"/>
      <c r="I23" s="2"/>
      <c r="J23" s="2"/>
      <c r="K23" s="2"/>
      <c r="L23" s="46" t="s">
        <v>97</v>
      </c>
      <c r="M23" s="251" t="s">
        <v>98</v>
      </c>
      <c r="N23" s="5"/>
    </row>
    <row r="24" spans="1:14" x14ac:dyDescent="0.2">
      <c r="A24" s="4"/>
      <c r="B24" s="4"/>
      <c r="C24" s="51" t="s">
        <v>50</v>
      </c>
      <c r="D24" s="51">
        <v>15</v>
      </c>
      <c r="E24" s="98" t="s">
        <v>50</v>
      </c>
      <c r="F24" s="2"/>
      <c r="G24" s="2"/>
      <c r="H24" s="2"/>
      <c r="I24" s="2"/>
      <c r="J24" s="2"/>
      <c r="K24" s="2"/>
      <c r="L24" s="46" t="s">
        <v>99</v>
      </c>
      <c r="M24" s="99">
        <f>D46</f>
        <v>3.5797614310000001</v>
      </c>
      <c r="N24" s="5"/>
    </row>
    <row r="25" spans="1:14" x14ac:dyDescent="0.2">
      <c r="A25" s="4"/>
      <c r="B25" s="4"/>
      <c r="C25" s="51" t="s">
        <v>52</v>
      </c>
      <c r="D25" s="51">
        <v>20</v>
      </c>
      <c r="E25" s="98" t="s">
        <v>52</v>
      </c>
      <c r="F25" s="2"/>
      <c r="G25" s="2"/>
      <c r="H25" s="2"/>
      <c r="I25" s="2"/>
      <c r="J25" s="2"/>
      <c r="K25" s="2"/>
      <c r="L25" s="46" t="s">
        <v>100</v>
      </c>
      <c r="M25" s="100">
        <v>2.7181999999999999</v>
      </c>
      <c r="N25" s="5"/>
    </row>
    <row r="26" spans="1:14" ht="17" thickBot="1" x14ac:dyDescent="0.25">
      <c r="A26" s="4"/>
      <c r="B26" s="4"/>
      <c r="C26" s="26"/>
      <c r="D26" s="26"/>
      <c r="E26" s="2"/>
      <c r="F26" s="2"/>
      <c r="G26" s="2"/>
      <c r="H26" s="2"/>
      <c r="I26" s="2"/>
      <c r="J26" s="2"/>
      <c r="K26" s="2"/>
      <c r="L26" s="46" t="s">
        <v>82</v>
      </c>
      <c r="M26" s="100" t="s">
        <v>101</v>
      </c>
      <c r="N26" s="5"/>
    </row>
    <row r="27" spans="1:14" s="2" customFormat="1" x14ac:dyDescent="0.2">
      <c r="A27" s="4"/>
      <c r="B27" s="4"/>
      <c r="C27" s="273" t="s">
        <v>42</v>
      </c>
      <c r="D27" s="274"/>
      <c r="L27" s="101" t="s">
        <v>83</v>
      </c>
      <c r="M27" s="251" t="s">
        <v>102</v>
      </c>
      <c r="N27" s="5"/>
    </row>
    <row r="28" spans="1:14" x14ac:dyDescent="0.2">
      <c r="A28" s="4"/>
      <c r="B28" s="4"/>
      <c r="C28" s="51" t="s">
        <v>44</v>
      </c>
      <c r="D28" s="51">
        <v>0</v>
      </c>
      <c r="E28" s="98" t="s">
        <v>44</v>
      </c>
      <c r="F28" s="2"/>
      <c r="G28" s="2"/>
      <c r="H28" s="2"/>
      <c r="I28" s="2"/>
      <c r="J28" s="2"/>
      <c r="K28" s="2"/>
      <c r="L28" s="101"/>
      <c r="M28" s="251"/>
      <c r="N28" s="5"/>
    </row>
    <row r="29" spans="1:14" x14ac:dyDescent="0.2">
      <c r="A29" s="4"/>
      <c r="B29" s="4"/>
      <c r="C29" s="51" t="s">
        <v>46</v>
      </c>
      <c r="D29" s="51">
        <v>5</v>
      </c>
      <c r="E29" s="98" t="s">
        <v>46</v>
      </c>
      <c r="F29" s="2"/>
      <c r="G29" s="2"/>
      <c r="H29" s="2"/>
      <c r="I29" s="2"/>
      <c r="J29" s="2"/>
      <c r="K29" s="2"/>
      <c r="L29" s="320" t="s">
        <v>109</v>
      </c>
      <c r="M29" s="323">
        <f>0.85308171*(EXP(0.067348748*DadosDep!D23-0.041679277*DadosDep!H23-0.00102286*DadosDep!D23*DadosDep!H23))</f>
        <v>0.9955188357594007</v>
      </c>
      <c r="N29" s="5"/>
    </row>
    <row r="30" spans="1:14" x14ac:dyDescent="0.2">
      <c r="A30" s="4"/>
      <c r="B30" s="4"/>
      <c r="C30" s="51" t="s">
        <v>48</v>
      </c>
      <c r="D30" s="51">
        <v>10</v>
      </c>
      <c r="E30" s="98" t="s">
        <v>48</v>
      </c>
      <c r="F30" s="2"/>
      <c r="G30" s="2"/>
      <c r="H30" s="2"/>
      <c r="I30" s="2"/>
      <c r="J30" s="2"/>
      <c r="K30" s="2"/>
      <c r="L30" s="321"/>
      <c r="M30" s="324"/>
      <c r="N30" s="5"/>
    </row>
    <row r="31" spans="1:14" x14ac:dyDescent="0.2">
      <c r="A31" s="4"/>
      <c r="B31" s="4"/>
      <c r="C31" s="51" t="s">
        <v>49</v>
      </c>
      <c r="D31" s="51">
        <v>15</v>
      </c>
      <c r="E31" s="98" t="s">
        <v>49</v>
      </c>
      <c r="F31" s="2"/>
      <c r="G31" s="2"/>
      <c r="H31" s="2"/>
      <c r="I31" s="2"/>
      <c r="J31" s="2"/>
      <c r="K31" s="2"/>
      <c r="L31" s="322"/>
      <c r="M31" s="325"/>
      <c r="N31" s="5"/>
    </row>
    <row r="32" spans="1:14" x14ac:dyDescent="0.2">
      <c r="A32" s="4"/>
      <c r="B32" s="4"/>
      <c r="C32" s="51" t="s">
        <v>51</v>
      </c>
      <c r="D32" s="51">
        <v>20</v>
      </c>
      <c r="E32" s="98" t="s">
        <v>51</v>
      </c>
      <c r="F32" s="2"/>
      <c r="G32" s="2"/>
      <c r="H32" s="2"/>
      <c r="I32" s="2"/>
      <c r="J32" s="2"/>
      <c r="K32" s="2"/>
      <c r="L32" s="2"/>
      <c r="M32" s="2"/>
      <c r="N32" s="5"/>
    </row>
    <row r="33" spans="1:18" ht="17" thickBot="1" x14ac:dyDescent="0.25">
      <c r="A33" s="4"/>
      <c r="B33" s="25"/>
      <c r="C33" s="26"/>
      <c r="D33" s="26"/>
      <c r="E33" s="26"/>
      <c r="F33" s="26"/>
      <c r="G33" s="26"/>
      <c r="H33" s="26"/>
      <c r="I33" s="26"/>
      <c r="J33" s="26"/>
      <c r="K33" s="26"/>
      <c r="L33" s="26"/>
      <c r="M33" s="26"/>
      <c r="N33" s="27"/>
    </row>
    <row r="34" spans="1:18" ht="17" thickBot="1" x14ac:dyDescent="0.25">
      <c r="C34" s="102"/>
      <c r="D34" s="102"/>
      <c r="F34" s="103"/>
      <c r="G34" s="103"/>
    </row>
    <row r="35" spans="1:18" x14ac:dyDescent="0.2">
      <c r="C35" s="102"/>
      <c r="D35" s="339" t="s">
        <v>103</v>
      </c>
      <c r="E35" s="340"/>
      <c r="F35" s="343" t="s">
        <v>104</v>
      </c>
      <c r="G35" s="344"/>
      <c r="H35" s="344"/>
      <c r="I35" s="344"/>
      <c r="J35" s="345"/>
      <c r="K35" s="104"/>
      <c r="L35" s="104"/>
      <c r="M35" s="104"/>
      <c r="P35" s="105">
        <f t="shared" ref="P35:P55" si="0">$D$14*Q35/100</f>
        <v>0</v>
      </c>
      <c r="Q35" s="106">
        <v>0</v>
      </c>
      <c r="R35" s="107">
        <f t="shared" ref="R35:R55" si="1">(1-($D$44/(1+$D$45*EXP($D$48*$D$46*(P35/$D$14)))))*100</f>
        <v>0</v>
      </c>
    </row>
    <row r="36" spans="1:18" ht="12.75" customHeight="1" x14ac:dyDescent="0.2">
      <c r="D36" s="341"/>
      <c r="E36" s="342"/>
      <c r="F36" s="108">
        <v>0</v>
      </c>
      <c r="G36" s="108">
        <v>5</v>
      </c>
      <c r="H36" s="108">
        <v>10</v>
      </c>
      <c r="I36" s="108">
        <v>15</v>
      </c>
      <c r="J36" s="109">
        <v>20</v>
      </c>
      <c r="K36" s="104"/>
      <c r="L36" s="104"/>
      <c r="M36" s="104"/>
      <c r="P36" s="105">
        <f t="shared" si="0"/>
        <v>0.25</v>
      </c>
      <c r="Q36" s="106">
        <v>5</v>
      </c>
      <c r="R36" s="107">
        <f t="shared" si="1"/>
        <v>4.8160162511787341</v>
      </c>
    </row>
    <row r="37" spans="1:18" ht="12" customHeight="1" x14ac:dyDescent="0.2">
      <c r="D37" s="346" t="s">
        <v>105</v>
      </c>
      <c r="E37" s="110">
        <v>0</v>
      </c>
      <c r="F37" s="111">
        <v>0.85</v>
      </c>
      <c r="G37" s="111">
        <v>1.19</v>
      </c>
      <c r="H37" s="111">
        <v>1.67</v>
      </c>
      <c r="I37" s="111">
        <v>2.34</v>
      </c>
      <c r="J37" s="112">
        <v>3.28</v>
      </c>
      <c r="K37" s="113"/>
      <c r="L37" s="113"/>
      <c r="M37" s="113"/>
      <c r="P37" s="105">
        <f t="shared" si="0"/>
        <v>0.5</v>
      </c>
      <c r="Q37" s="106">
        <v>10</v>
      </c>
      <c r="R37" s="107">
        <f t="shared" si="1"/>
        <v>10.000003990603856</v>
      </c>
    </row>
    <row r="38" spans="1:18" x14ac:dyDescent="0.2">
      <c r="D38" s="347"/>
      <c r="E38" s="110">
        <v>5</v>
      </c>
      <c r="F38" s="111">
        <v>0.69</v>
      </c>
      <c r="G38" s="111">
        <v>0.95</v>
      </c>
      <c r="H38" s="111">
        <v>1.29</v>
      </c>
      <c r="I38" s="111">
        <v>1.76</v>
      </c>
      <c r="J38" s="112">
        <v>2.4</v>
      </c>
      <c r="K38" s="113"/>
      <c r="L38" s="113"/>
      <c r="M38" s="113"/>
      <c r="P38" s="105">
        <f t="shared" si="0"/>
        <v>0.75</v>
      </c>
      <c r="Q38" s="106">
        <v>15</v>
      </c>
      <c r="R38" s="107">
        <f t="shared" si="1"/>
        <v>15.503900767071244</v>
      </c>
    </row>
    <row r="39" spans="1:18" x14ac:dyDescent="0.2">
      <c r="D39" s="347"/>
      <c r="E39" s="110">
        <v>10</v>
      </c>
      <c r="F39" s="111">
        <v>0.56000000000000005</v>
      </c>
      <c r="G39" s="111">
        <v>0.75</v>
      </c>
      <c r="H39" s="111">
        <v>1</v>
      </c>
      <c r="I39" s="111">
        <v>1.32</v>
      </c>
      <c r="J39" s="112">
        <v>1.76</v>
      </c>
      <c r="K39" s="113"/>
      <c r="L39" s="113"/>
      <c r="M39" s="113"/>
      <c r="P39" s="105">
        <f t="shared" si="0"/>
        <v>1</v>
      </c>
      <c r="Q39" s="106">
        <v>20</v>
      </c>
      <c r="R39" s="107">
        <f t="shared" si="1"/>
        <v>21.262822353772115</v>
      </c>
    </row>
    <row r="40" spans="1:18" x14ac:dyDescent="0.2">
      <c r="D40" s="347"/>
      <c r="E40" s="110">
        <v>15</v>
      </c>
      <c r="F40" s="111">
        <v>0.46</v>
      </c>
      <c r="G40" s="111">
        <v>0.59</v>
      </c>
      <c r="H40" s="111">
        <v>0.77</v>
      </c>
      <c r="I40" s="111">
        <v>1</v>
      </c>
      <c r="J40" s="112">
        <v>1.29</v>
      </c>
      <c r="K40" s="113"/>
      <c r="L40" s="113"/>
      <c r="M40" s="113"/>
      <c r="P40" s="105">
        <f t="shared" si="0"/>
        <v>1.25</v>
      </c>
      <c r="Q40" s="106">
        <v>25</v>
      </c>
      <c r="R40" s="107">
        <f t="shared" si="1"/>
        <v>27.197338215622015</v>
      </c>
    </row>
    <row r="41" spans="1:18" ht="17" thickBot="1" x14ac:dyDescent="0.25">
      <c r="D41" s="348"/>
      <c r="E41" s="114">
        <v>20</v>
      </c>
      <c r="F41" s="115">
        <v>0.37</v>
      </c>
      <c r="G41" s="115">
        <v>0.47</v>
      </c>
      <c r="H41" s="115">
        <v>0.59</v>
      </c>
      <c r="I41" s="115">
        <v>0.75</v>
      </c>
      <c r="J41" s="116">
        <v>0.95</v>
      </c>
      <c r="K41" s="113"/>
      <c r="L41" s="113"/>
      <c r="M41" s="113"/>
      <c r="P41" s="105">
        <f t="shared" si="0"/>
        <v>1.5</v>
      </c>
      <c r="Q41" s="106">
        <v>30</v>
      </c>
      <c r="R41" s="107">
        <f t="shared" si="1"/>
        <v>33.217417268625042</v>
      </c>
    </row>
    <row r="42" spans="1:18" x14ac:dyDescent="0.2">
      <c r="P42" s="105">
        <f t="shared" si="0"/>
        <v>1.75</v>
      </c>
      <c r="Q42" s="106">
        <v>35</v>
      </c>
      <c r="R42" s="107">
        <f t="shared" si="1"/>
        <v>39.227690412904167</v>
      </c>
    </row>
    <row r="43" spans="1:18" x14ac:dyDescent="0.2">
      <c r="P43" s="105">
        <f t="shared" si="0"/>
        <v>2</v>
      </c>
      <c r="Q43" s="106">
        <v>40</v>
      </c>
      <c r="R43" s="107">
        <f t="shared" si="1"/>
        <v>45.133406042475755</v>
      </c>
    </row>
    <row r="44" spans="1:18" x14ac:dyDescent="0.2">
      <c r="C44" s="117" t="s">
        <v>106</v>
      </c>
      <c r="D44" s="336">
        <v>1.3479614310000001</v>
      </c>
      <c r="E44" s="336"/>
      <c r="P44" s="105">
        <f t="shared" si="0"/>
        <v>2.25</v>
      </c>
      <c r="Q44" s="106">
        <v>45</v>
      </c>
      <c r="R44" s="107">
        <f t="shared" si="1"/>
        <v>50.846304396650254</v>
      </c>
    </row>
    <row r="45" spans="1:18" x14ac:dyDescent="0.2">
      <c r="C45" s="117" t="s">
        <v>107</v>
      </c>
      <c r="D45" s="336">
        <f>D44-1</f>
        <v>0.3479614310000001</v>
      </c>
      <c r="E45" s="336"/>
      <c r="P45" s="105">
        <f t="shared" si="0"/>
        <v>2.5</v>
      </c>
      <c r="Q45" s="106">
        <v>50</v>
      </c>
      <c r="R45" s="107">
        <f t="shared" si="1"/>
        <v>56.289654494204591</v>
      </c>
    </row>
    <row r="46" spans="1:18" x14ac:dyDescent="0.2">
      <c r="C46" s="117" t="s">
        <v>99</v>
      </c>
      <c r="D46" s="336">
        <v>3.5797614310000001</v>
      </c>
      <c r="E46" s="336"/>
      <c r="P46" s="105">
        <f t="shared" si="0"/>
        <v>2.75</v>
      </c>
      <c r="Q46" s="106">
        <v>55</v>
      </c>
      <c r="R46" s="107">
        <f t="shared" si="1"/>
        <v>61.401877639256895</v>
      </c>
    </row>
    <row r="47" spans="1:18" x14ac:dyDescent="0.2">
      <c r="C47" s="117" t="s">
        <v>100</v>
      </c>
      <c r="D47" s="337">
        <v>2.7181999999999999</v>
      </c>
      <c r="E47" s="337"/>
      <c r="P47" s="105">
        <f t="shared" si="0"/>
        <v>3</v>
      </c>
      <c r="Q47" s="106">
        <v>60</v>
      </c>
      <c r="R47" s="107">
        <f t="shared" si="1"/>
        <v>66.138466764500464</v>
      </c>
    </row>
    <row r="48" spans="1:18" x14ac:dyDescent="0.2">
      <c r="C48" s="118" t="s">
        <v>108</v>
      </c>
      <c r="D48" s="338">
        <f>IF(E11=0,VLOOKUP(E12,E37:F41,2,1),IF(E11=5,VLOOKUP(E12,E37:G41,3,1),IF(E11=10,VLOOKUP(E12,E37:H41,4,1),IF(E11=15,VLOOKUP(E12,E37:I41,5,1),IF(E11=20,VLOOKUP(E12,E37:J41,6,1))))))</f>
        <v>1</v>
      </c>
      <c r="E48" s="338"/>
      <c r="P48" s="105">
        <f t="shared" si="0"/>
        <v>3.25</v>
      </c>
      <c r="Q48" s="106">
        <v>65</v>
      </c>
      <c r="R48" s="107">
        <f t="shared" si="1"/>
        <v>70.472217253187708</v>
      </c>
    </row>
    <row r="49" spans="16:18" x14ac:dyDescent="0.2">
      <c r="P49" s="105">
        <f t="shared" si="0"/>
        <v>3.5</v>
      </c>
      <c r="Q49" s="106">
        <v>70</v>
      </c>
      <c r="R49" s="107">
        <f t="shared" si="1"/>
        <v>74.392035072679789</v>
      </c>
    </row>
    <row r="50" spans="16:18" x14ac:dyDescent="0.2">
      <c r="P50" s="105">
        <f t="shared" si="0"/>
        <v>3.75</v>
      </c>
      <c r="Q50" s="106">
        <v>75</v>
      </c>
      <c r="R50" s="107">
        <f t="shared" si="1"/>
        <v>77.900736252805402</v>
      </c>
    </row>
    <row r="51" spans="16:18" x14ac:dyDescent="0.2">
      <c r="P51" s="105">
        <f t="shared" si="0"/>
        <v>4</v>
      </c>
      <c r="Q51" s="106">
        <v>80</v>
      </c>
      <c r="R51" s="107">
        <f t="shared" si="1"/>
        <v>81.012290808702133</v>
      </c>
    </row>
    <row r="52" spans="16:18" x14ac:dyDescent="0.2">
      <c r="P52" s="105">
        <f t="shared" si="0"/>
        <v>4.25</v>
      </c>
      <c r="Q52" s="106">
        <v>85</v>
      </c>
      <c r="R52" s="107">
        <f t="shared" si="1"/>
        <v>83.748916870571094</v>
      </c>
    </row>
    <row r="53" spans="16:18" x14ac:dyDescent="0.2">
      <c r="P53" s="105">
        <f t="shared" si="0"/>
        <v>4.5</v>
      </c>
      <c r="Q53" s="106">
        <v>90</v>
      </c>
      <c r="R53" s="107">
        <f t="shared" si="1"/>
        <v>86.138333419136174</v>
      </c>
    </row>
    <row r="54" spans="16:18" x14ac:dyDescent="0.2">
      <c r="P54" s="105">
        <f t="shared" si="0"/>
        <v>4.75</v>
      </c>
      <c r="Q54" s="106">
        <v>95</v>
      </c>
      <c r="R54" s="107">
        <f t="shared" si="1"/>
        <v>88.211367801646617</v>
      </c>
    </row>
    <row r="55" spans="16:18" x14ac:dyDescent="0.2">
      <c r="P55" s="105">
        <f t="shared" si="0"/>
        <v>5</v>
      </c>
      <c r="Q55" s="106">
        <v>100</v>
      </c>
      <c r="R55" s="107">
        <f t="shared" si="1"/>
        <v>90.000012381588562</v>
      </c>
    </row>
  </sheetData>
  <mergeCells count="22">
    <mergeCell ref="F35:J35"/>
    <mergeCell ref="D37:D41"/>
    <mergeCell ref="D44:E44"/>
    <mergeCell ref="D45:E45"/>
    <mergeCell ref="D46:E46"/>
    <mergeCell ref="D47:E47"/>
    <mergeCell ref="D48:E48"/>
    <mergeCell ref="D35:E36"/>
    <mergeCell ref="L29:L31"/>
    <mergeCell ref="M29:M31"/>
    <mergeCell ref="C3:D3"/>
    <mergeCell ref="C4:C5"/>
    <mergeCell ref="C7:D7"/>
    <mergeCell ref="D8:E8"/>
    <mergeCell ref="C10:D10"/>
    <mergeCell ref="D13:E13"/>
    <mergeCell ref="D14:E14"/>
    <mergeCell ref="D17:E17"/>
    <mergeCell ref="G3:H3"/>
    <mergeCell ref="C27:D27"/>
    <mergeCell ref="D16:E16"/>
    <mergeCell ref="C20:D2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workbookViewId="0">
      <selection activeCell="D19" sqref="D19"/>
    </sheetView>
  </sheetViews>
  <sheetFormatPr baseColWidth="10" defaultColWidth="7.33203125" defaultRowHeight="16" x14ac:dyDescent="0.2"/>
  <cols>
    <col min="1" max="1" width="4.83203125" customWidth="1"/>
    <col min="2" max="2" width="5.6640625" customWidth="1"/>
    <col min="3" max="3" width="10.83203125" customWidth="1"/>
    <col min="7" max="7" width="13.6640625" customWidth="1"/>
    <col min="8" max="8" width="3.83203125" customWidth="1"/>
    <col min="10" max="10" width="13.33203125" customWidth="1"/>
    <col min="11" max="11" width="3.6640625" customWidth="1"/>
    <col min="13" max="15" width="7.6640625" style="1" customWidth="1"/>
  </cols>
  <sheetData>
    <row r="1" spans="1:12" customFormat="1" ht="18" x14ac:dyDescent="0.2">
      <c r="A1" s="305" t="s">
        <v>5</v>
      </c>
      <c r="B1" s="306"/>
      <c r="C1" s="306"/>
      <c r="D1" s="306"/>
      <c r="E1" s="10"/>
      <c r="F1" s="10"/>
      <c r="G1" s="10"/>
      <c r="H1" s="10"/>
      <c r="I1" s="10"/>
      <c r="J1" s="10"/>
      <c r="K1" s="10"/>
      <c r="L1" s="11"/>
    </row>
    <row r="2" spans="1:12" customFormat="1" ht="17" thickBot="1" x14ac:dyDescent="0.25">
      <c r="A2" s="4"/>
      <c r="B2" s="2"/>
      <c r="C2" s="2"/>
      <c r="D2" s="2"/>
      <c r="E2" s="2"/>
      <c r="F2" s="2"/>
      <c r="G2" s="2"/>
      <c r="H2" s="2"/>
      <c r="I2" s="2"/>
      <c r="J2" s="2"/>
      <c r="K2" s="2"/>
      <c r="L2" s="5"/>
    </row>
    <row r="3" spans="1:12" customFormat="1" x14ac:dyDescent="0.2">
      <c r="A3" s="307" t="s">
        <v>110</v>
      </c>
      <c r="B3" s="308"/>
      <c r="C3" s="308"/>
      <c r="D3" s="309"/>
      <c r="E3" s="2"/>
      <c r="F3" s="2"/>
      <c r="G3" s="2"/>
      <c r="H3" s="2"/>
      <c r="I3" s="2"/>
      <c r="J3" s="2"/>
      <c r="K3" s="2"/>
      <c r="L3" s="5"/>
    </row>
    <row r="4" spans="1:12" customFormat="1" x14ac:dyDescent="0.2">
      <c r="A4" s="310"/>
      <c r="B4" s="311"/>
      <c r="C4" s="311"/>
      <c r="D4" s="312"/>
      <c r="E4" s="2"/>
      <c r="F4" s="2"/>
      <c r="G4" s="2"/>
      <c r="H4" s="2"/>
      <c r="I4" s="2"/>
      <c r="J4" s="2"/>
      <c r="K4" s="2"/>
      <c r="L4" s="5"/>
    </row>
    <row r="5" spans="1:12" customFormat="1" x14ac:dyDescent="0.2">
      <c r="A5" s="302" t="s">
        <v>77</v>
      </c>
      <c r="B5" s="303"/>
      <c r="C5" s="303"/>
      <c r="D5" s="304"/>
      <c r="E5" s="2"/>
      <c r="F5" s="2"/>
      <c r="G5" s="2"/>
      <c r="H5" s="2"/>
      <c r="I5" s="2"/>
      <c r="J5" s="2"/>
      <c r="K5" s="2"/>
      <c r="L5" s="5"/>
    </row>
    <row r="6" spans="1:12" customFormat="1" x14ac:dyDescent="0.2">
      <c r="A6" s="302" t="s">
        <v>78</v>
      </c>
      <c r="B6" s="303"/>
      <c r="C6" s="303"/>
      <c r="D6" s="304"/>
      <c r="E6" s="2"/>
      <c r="F6" s="2"/>
      <c r="G6" s="2"/>
      <c r="H6" s="2"/>
      <c r="I6" s="2"/>
      <c r="J6" s="2"/>
      <c r="K6" s="2"/>
      <c r="L6" s="5"/>
    </row>
    <row r="7" spans="1:12" customFormat="1" x14ac:dyDescent="0.2">
      <c r="A7" s="302" t="s">
        <v>79</v>
      </c>
      <c r="B7" s="303"/>
      <c r="C7" s="303"/>
      <c r="D7" s="304"/>
      <c r="E7" s="2"/>
      <c r="F7" s="2"/>
      <c r="G7" s="2"/>
      <c r="H7" s="2"/>
      <c r="I7" s="2"/>
      <c r="J7" s="2"/>
      <c r="K7" s="2"/>
      <c r="L7" s="5"/>
    </row>
    <row r="8" spans="1:12" customFormat="1" ht="17" thickBot="1" x14ac:dyDescent="0.25">
      <c r="A8" s="313" t="s">
        <v>80</v>
      </c>
      <c r="B8" s="314"/>
      <c r="C8" s="314"/>
      <c r="D8" s="315"/>
      <c r="E8" s="2"/>
      <c r="F8" s="2"/>
      <c r="G8" s="2"/>
      <c r="H8" s="2"/>
      <c r="I8" s="2"/>
      <c r="J8" s="2"/>
      <c r="K8" s="2"/>
      <c r="L8" s="5"/>
    </row>
    <row r="9" spans="1:12" customFormat="1" ht="17" thickBot="1" x14ac:dyDescent="0.25">
      <c r="A9" s="4"/>
      <c r="B9" s="2"/>
      <c r="C9" s="2"/>
      <c r="D9" s="2"/>
      <c r="E9" s="2"/>
      <c r="F9" s="2"/>
      <c r="G9" s="2"/>
      <c r="H9" s="2"/>
      <c r="I9" s="2"/>
      <c r="J9" s="2"/>
      <c r="K9" s="2"/>
      <c r="L9" s="5"/>
    </row>
    <row r="10" spans="1:12" customFormat="1" x14ac:dyDescent="0.2">
      <c r="A10" s="4"/>
      <c r="B10" s="316" t="s">
        <v>81</v>
      </c>
      <c r="C10" s="317"/>
      <c r="D10" s="2"/>
      <c r="E10" s="2"/>
      <c r="F10" s="2"/>
      <c r="G10" s="2"/>
      <c r="H10" s="2"/>
      <c r="I10" s="2"/>
      <c r="J10" s="2"/>
      <c r="K10" s="2"/>
      <c r="L10" s="5"/>
    </row>
    <row r="11" spans="1:12" customFormat="1" x14ac:dyDescent="0.2">
      <c r="A11" s="4"/>
      <c r="B11" s="119" t="s">
        <v>82</v>
      </c>
      <c r="C11" s="120">
        <f>DadosDep!B12</f>
        <v>3</v>
      </c>
      <c r="D11" s="2"/>
      <c r="E11" s="2"/>
      <c r="F11" s="2"/>
      <c r="G11" s="2"/>
      <c r="H11" s="2"/>
      <c r="I11" s="2"/>
      <c r="J11" s="2"/>
      <c r="K11" s="2"/>
      <c r="L11" s="5"/>
    </row>
    <row r="12" spans="1:12" customFormat="1" x14ac:dyDescent="0.2">
      <c r="A12" s="4"/>
      <c r="B12" s="119" t="s">
        <v>83</v>
      </c>
      <c r="C12" s="120">
        <f>DadosDep!B13</f>
        <v>5</v>
      </c>
      <c r="D12" s="2"/>
      <c r="E12" s="2"/>
      <c r="F12" s="2"/>
      <c r="G12" s="2"/>
      <c r="H12" s="2"/>
      <c r="I12" s="2"/>
      <c r="J12" s="2"/>
      <c r="K12" s="2"/>
      <c r="L12" s="5"/>
    </row>
    <row r="13" spans="1:12" customFormat="1" ht="17" thickBot="1" x14ac:dyDescent="0.25">
      <c r="A13" s="4"/>
      <c r="B13" s="121" t="s">
        <v>57</v>
      </c>
      <c r="C13" s="122">
        <f>DadosDep!B14</f>
        <v>10</v>
      </c>
      <c r="D13" s="2"/>
      <c r="E13" s="2"/>
      <c r="F13" s="2"/>
      <c r="G13" s="2"/>
      <c r="H13" s="2"/>
      <c r="I13" s="2"/>
      <c r="J13" s="2"/>
      <c r="K13" s="2"/>
      <c r="L13" s="5"/>
    </row>
    <row r="14" spans="1:12" customFormat="1" ht="17" thickBot="1" x14ac:dyDescent="0.25">
      <c r="A14" s="4"/>
      <c r="B14" s="2"/>
      <c r="C14" s="2"/>
      <c r="D14" s="2"/>
      <c r="E14" s="2"/>
      <c r="F14" s="2"/>
      <c r="G14" s="2"/>
      <c r="H14" s="2"/>
      <c r="I14" s="2"/>
      <c r="J14" s="2"/>
      <c r="K14" s="2"/>
      <c r="L14" s="5"/>
    </row>
    <row r="15" spans="1:12" customFormat="1" x14ac:dyDescent="0.2">
      <c r="A15" s="4"/>
      <c r="B15" s="316" t="s">
        <v>84</v>
      </c>
      <c r="C15" s="317"/>
      <c r="D15" s="2"/>
      <c r="E15" s="2"/>
      <c r="F15" s="2"/>
      <c r="G15" s="2"/>
      <c r="H15" s="2"/>
      <c r="I15" s="2"/>
      <c r="J15" s="2"/>
      <c r="K15" s="2"/>
      <c r="L15" s="5"/>
    </row>
    <row r="16" spans="1:12" customFormat="1" ht="17" thickBot="1" x14ac:dyDescent="0.25">
      <c r="A16" s="4"/>
      <c r="B16" s="123" t="s">
        <v>17</v>
      </c>
      <c r="C16" s="124">
        <f>IF(C25&gt;=(100-C13),100-C13,C25)</f>
        <v>54</v>
      </c>
      <c r="D16" s="2"/>
      <c r="E16" s="2"/>
      <c r="F16" s="2"/>
      <c r="G16" s="2"/>
      <c r="H16" s="2"/>
      <c r="I16" s="2"/>
      <c r="J16" s="2"/>
      <c r="K16" s="2"/>
      <c r="L16" s="5"/>
    </row>
    <row r="17" spans="1:12" customFormat="1" x14ac:dyDescent="0.2">
      <c r="A17" s="4"/>
      <c r="B17" s="2"/>
      <c r="C17" s="2"/>
      <c r="D17" s="2"/>
      <c r="E17" s="2"/>
      <c r="F17" s="2"/>
      <c r="G17" s="2"/>
      <c r="H17" s="2"/>
      <c r="I17" s="2"/>
      <c r="J17" s="2"/>
      <c r="K17" s="2"/>
      <c r="L17" s="5"/>
    </row>
    <row r="18" spans="1:12" customFormat="1" x14ac:dyDescent="0.2">
      <c r="A18" s="4"/>
      <c r="B18" s="79"/>
      <c r="C18" s="80"/>
      <c r="D18" s="2"/>
      <c r="E18" s="2"/>
      <c r="F18" s="2"/>
      <c r="G18" s="2"/>
      <c r="H18" s="2"/>
      <c r="I18" s="2"/>
      <c r="J18" s="2"/>
      <c r="K18" s="2"/>
      <c r="L18" s="5"/>
    </row>
    <row r="19" spans="1:12" customFormat="1" x14ac:dyDescent="0.2">
      <c r="A19" s="4"/>
      <c r="B19" s="81"/>
      <c r="C19" s="82"/>
      <c r="D19" s="2"/>
      <c r="E19" s="2"/>
      <c r="F19" s="2"/>
      <c r="G19" s="2"/>
      <c r="H19" s="2"/>
      <c r="I19" s="2"/>
      <c r="J19" s="2"/>
      <c r="K19" s="2"/>
      <c r="L19" s="5"/>
    </row>
    <row r="20" spans="1:12" customFormat="1" x14ac:dyDescent="0.2">
      <c r="A20" s="4"/>
      <c r="B20" s="81"/>
      <c r="C20" s="82"/>
      <c r="D20" s="2"/>
      <c r="E20" s="2"/>
      <c r="F20" s="2"/>
      <c r="G20" s="2"/>
      <c r="H20" s="2"/>
      <c r="I20" s="2"/>
      <c r="J20" s="2"/>
      <c r="K20" s="2"/>
      <c r="L20" s="5"/>
    </row>
    <row r="21" spans="1:12" customFormat="1" x14ac:dyDescent="0.2">
      <c r="A21" s="4"/>
      <c r="B21" s="81"/>
      <c r="C21" s="82"/>
      <c r="D21" s="2"/>
      <c r="E21" s="2"/>
      <c r="F21" s="2"/>
      <c r="G21" s="2"/>
      <c r="H21" s="2"/>
      <c r="I21" s="2"/>
      <c r="J21" s="2"/>
      <c r="K21" s="2"/>
      <c r="L21" s="5"/>
    </row>
    <row r="22" spans="1:12" customFormat="1" x14ac:dyDescent="0.2">
      <c r="A22" s="4"/>
      <c r="B22" s="83"/>
      <c r="C22" s="84"/>
      <c r="D22" s="2"/>
      <c r="E22" s="2"/>
      <c r="F22" s="2"/>
      <c r="G22" s="2"/>
      <c r="H22" s="2"/>
      <c r="I22" s="2"/>
      <c r="J22" s="2"/>
      <c r="K22" s="2"/>
      <c r="L22" s="5"/>
    </row>
    <row r="23" spans="1:12" customFormat="1" ht="17" thickBot="1" x14ac:dyDescent="0.25">
      <c r="A23" s="25"/>
      <c r="B23" s="26"/>
      <c r="C23" s="26"/>
      <c r="D23" s="26"/>
      <c r="E23" s="26"/>
      <c r="F23" s="97" t="s">
        <v>85</v>
      </c>
      <c r="G23" s="96">
        <f>DadosDep!B18</f>
        <v>550000</v>
      </c>
      <c r="H23" s="26"/>
      <c r="I23" s="97" t="s">
        <v>94</v>
      </c>
      <c r="J23" s="125">
        <f>G23-(G23*C25/100)</f>
        <v>253000</v>
      </c>
      <c r="K23" s="26"/>
      <c r="L23" s="27"/>
    </row>
    <row r="24" spans="1:12" s="2" customFormat="1" x14ac:dyDescent="0.2"/>
    <row r="25" spans="1:12" s="2" customFormat="1" x14ac:dyDescent="0.2">
      <c r="C25" s="126">
        <f>100*(C11*((1-($C$13/100))/$C$12))</f>
        <v>54</v>
      </c>
    </row>
    <row r="26" spans="1:12" s="2" customFormat="1" x14ac:dyDescent="0.2"/>
    <row r="27" spans="1:12" s="2" customFormat="1" x14ac:dyDescent="0.2"/>
    <row r="28" spans="1:12" s="2" customFormat="1" x14ac:dyDescent="0.2"/>
    <row r="29" spans="1:12" s="2" customFormat="1" x14ac:dyDescent="0.2"/>
    <row r="30" spans="1:12" s="2" customFormat="1" x14ac:dyDescent="0.2"/>
    <row r="31" spans="1:12" s="2" customFormat="1" x14ac:dyDescent="0.2"/>
    <row r="41" spans="1:3" customFormat="1" x14ac:dyDescent="0.2">
      <c r="A41" s="70">
        <f t="shared" ref="A41:A61" si="0">$C$12*B41/100</f>
        <v>0</v>
      </c>
      <c r="B41" s="86">
        <v>0</v>
      </c>
      <c r="C41" s="71">
        <f>100*(A41*((1-($C$13/100))/$C$12))</f>
        <v>0</v>
      </c>
    </row>
    <row r="42" spans="1:3" customFormat="1" x14ac:dyDescent="0.2">
      <c r="A42" s="70">
        <f t="shared" si="0"/>
        <v>0.25</v>
      </c>
      <c r="B42" s="86">
        <v>5</v>
      </c>
      <c r="C42" s="71">
        <f t="shared" ref="C42:C61" si="1">100*(A42*((1-($C$13/100))/$C$12))</f>
        <v>4.5</v>
      </c>
    </row>
    <row r="43" spans="1:3" customFormat="1" x14ac:dyDescent="0.2">
      <c r="A43" s="70">
        <f t="shared" si="0"/>
        <v>0.5</v>
      </c>
      <c r="B43" s="86">
        <v>10</v>
      </c>
      <c r="C43" s="71">
        <f t="shared" si="1"/>
        <v>9</v>
      </c>
    </row>
    <row r="44" spans="1:3" customFormat="1" x14ac:dyDescent="0.2">
      <c r="A44" s="70">
        <f t="shared" si="0"/>
        <v>0.75</v>
      </c>
      <c r="B44" s="86">
        <v>15</v>
      </c>
      <c r="C44" s="71">
        <f t="shared" si="1"/>
        <v>13.5</v>
      </c>
    </row>
    <row r="45" spans="1:3" customFormat="1" x14ac:dyDescent="0.2">
      <c r="A45" s="70">
        <f t="shared" si="0"/>
        <v>1</v>
      </c>
      <c r="B45" s="86">
        <v>20</v>
      </c>
      <c r="C45" s="71">
        <f t="shared" si="1"/>
        <v>18</v>
      </c>
    </row>
    <row r="46" spans="1:3" customFormat="1" x14ac:dyDescent="0.2">
      <c r="A46" s="70">
        <f t="shared" si="0"/>
        <v>1.25</v>
      </c>
      <c r="B46" s="86">
        <v>25</v>
      </c>
      <c r="C46" s="71">
        <f t="shared" si="1"/>
        <v>22.499999999999996</v>
      </c>
    </row>
    <row r="47" spans="1:3" customFormat="1" x14ac:dyDescent="0.2">
      <c r="A47" s="70">
        <f t="shared" si="0"/>
        <v>1.5</v>
      </c>
      <c r="B47" s="86">
        <v>30</v>
      </c>
      <c r="C47" s="71">
        <f t="shared" si="1"/>
        <v>27</v>
      </c>
    </row>
    <row r="48" spans="1:3" customFormat="1" x14ac:dyDescent="0.2">
      <c r="A48" s="70">
        <f t="shared" si="0"/>
        <v>1.75</v>
      </c>
      <c r="B48" s="86">
        <v>35</v>
      </c>
      <c r="C48" s="71">
        <f t="shared" si="1"/>
        <v>31.5</v>
      </c>
    </row>
    <row r="49" spans="1:3" customFormat="1" x14ac:dyDescent="0.2">
      <c r="A49" s="70">
        <f t="shared" si="0"/>
        <v>2</v>
      </c>
      <c r="B49" s="86">
        <v>40</v>
      </c>
      <c r="C49" s="71">
        <f t="shared" si="1"/>
        <v>36</v>
      </c>
    </row>
    <row r="50" spans="1:3" customFormat="1" x14ac:dyDescent="0.2">
      <c r="A50" s="70">
        <f t="shared" si="0"/>
        <v>2.25</v>
      </c>
      <c r="B50" s="86">
        <v>45</v>
      </c>
      <c r="C50" s="71">
        <f t="shared" si="1"/>
        <v>40.5</v>
      </c>
    </row>
    <row r="51" spans="1:3" customFormat="1" x14ac:dyDescent="0.2">
      <c r="A51" s="70">
        <f t="shared" si="0"/>
        <v>2.5</v>
      </c>
      <c r="B51" s="86">
        <v>50</v>
      </c>
      <c r="C51" s="71">
        <f t="shared" si="1"/>
        <v>44.999999999999993</v>
      </c>
    </row>
    <row r="52" spans="1:3" customFormat="1" x14ac:dyDescent="0.2">
      <c r="A52" s="70">
        <f t="shared" si="0"/>
        <v>2.75</v>
      </c>
      <c r="B52" s="86">
        <v>55</v>
      </c>
      <c r="C52" s="71">
        <f t="shared" si="1"/>
        <v>49.5</v>
      </c>
    </row>
    <row r="53" spans="1:3" customFormat="1" x14ac:dyDescent="0.2">
      <c r="A53" s="70">
        <f t="shared" si="0"/>
        <v>3</v>
      </c>
      <c r="B53" s="86">
        <v>60</v>
      </c>
      <c r="C53" s="71">
        <f t="shared" si="1"/>
        <v>54</v>
      </c>
    </row>
    <row r="54" spans="1:3" customFormat="1" x14ac:dyDescent="0.2">
      <c r="A54" s="70">
        <f t="shared" si="0"/>
        <v>3.25</v>
      </c>
      <c r="B54" s="86">
        <v>65</v>
      </c>
      <c r="C54" s="71">
        <f t="shared" si="1"/>
        <v>58.5</v>
      </c>
    </row>
    <row r="55" spans="1:3" customFormat="1" x14ac:dyDescent="0.2">
      <c r="A55" s="70">
        <f t="shared" si="0"/>
        <v>3.5</v>
      </c>
      <c r="B55" s="86">
        <v>70</v>
      </c>
      <c r="C55" s="71">
        <f t="shared" si="1"/>
        <v>63</v>
      </c>
    </row>
    <row r="56" spans="1:3" customFormat="1" x14ac:dyDescent="0.2">
      <c r="A56" s="70">
        <f t="shared" si="0"/>
        <v>3.75</v>
      </c>
      <c r="B56" s="86">
        <v>75</v>
      </c>
      <c r="C56" s="71">
        <f t="shared" si="1"/>
        <v>67.5</v>
      </c>
    </row>
    <row r="57" spans="1:3" customFormat="1" x14ac:dyDescent="0.2">
      <c r="A57" s="70">
        <f t="shared" si="0"/>
        <v>4</v>
      </c>
      <c r="B57" s="86">
        <v>80</v>
      </c>
      <c r="C57" s="71">
        <f t="shared" si="1"/>
        <v>72</v>
      </c>
    </row>
    <row r="58" spans="1:3" customFormat="1" x14ac:dyDescent="0.2">
      <c r="A58" s="70">
        <f t="shared" si="0"/>
        <v>4.25</v>
      </c>
      <c r="B58" s="86">
        <v>85</v>
      </c>
      <c r="C58" s="71">
        <f t="shared" si="1"/>
        <v>76.5</v>
      </c>
    </row>
    <row r="59" spans="1:3" customFormat="1" x14ac:dyDescent="0.2">
      <c r="A59" s="70">
        <f t="shared" si="0"/>
        <v>4.5</v>
      </c>
      <c r="B59" s="86">
        <v>90</v>
      </c>
      <c r="C59" s="71">
        <f t="shared" si="1"/>
        <v>81</v>
      </c>
    </row>
    <row r="60" spans="1:3" customFormat="1" x14ac:dyDescent="0.2">
      <c r="A60" s="70">
        <f t="shared" si="0"/>
        <v>4.75</v>
      </c>
      <c r="B60" s="86">
        <v>95</v>
      </c>
      <c r="C60" s="71">
        <f t="shared" si="1"/>
        <v>85.5</v>
      </c>
    </row>
    <row r="61" spans="1:3" customFormat="1" x14ac:dyDescent="0.2">
      <c r="A61" s="70">
        <f t="shared" si="0"/>
        <v>5</v>
      </c>
      <c r="B61" s="86">
        <v>100</v>
      </c>
      <c r="C61" s="71">
        <f t="shared" si="1"/>
        <v>89.999999999999986</v>
      </c>
    </row>
  </sheetData>
  <mergeCells count="9">
    <mergeCell ref="A8:D8"/>
    <mergeCell ref="B10:C10"/>
    <mergeCell ref="B15:C15"/>
    <mergeCell ref="A1:D1"/>
    <mergeCell ref="A3:D3"/>
    <mergeCell ref="A4:D4"/>
    <mergeCell ref="A5:D5"/>
    <mergeCell ref="A6:D6"/>
    <mergeCell ref="A7:D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6"/>
  <sheetViews>
    <sheetView workbookViewId="0">
      <selection activeCell="I25" sqref="I25"/>
    </sheetView>
  </sheetViews>
  <sheetFormatPr baseColWidth="10" defaultColWidth="7.33203125" defaultRowHeight="16" x14ac:dyDescent="0.2"/>
  <cols>
    <col min="1" max="1" width="4.83203125" customWidth="1"/>
    <col min="2" max="2" width="5.6640625" customWidth="1"/>
    <col min="3" max="3" width="10.83203125" customWidth="1"/>
    <col min="6" max="6" width="5.33203125" customWidth="1"/>
    <col min="7" max="7" width="12.6640625" customWidth="1"/>
    <col min="8" max="8" width="4.5" customWidth="1"/>
    <col min="9" max="9" width="6.33203125" customWidth="1"/>
    <col min="10" max="10" width="13.6640625" customWidth="1"/>
    <col min="11" max="11" width="2.1640625" customWidth="1"/>
    <col min="13" max="40" width="7.6640625" style="1" customWidth="1"/>
  </cols>
  <sheetData>
    <row r="1" spans="1:12" customFormat="1" ht="18" x14ac:dyDescent="0.2">
      <c r="A1" s="305" t="s">
        <v>111</v>
      </c>
      <c r="B1" s="306"/>
      <c r="C1" s="306"/>
      <c r="D1" s="306"/>
      <c r="E1" s="10"/>
      <c r="F1" s="10"/>
      <c r="G1" s="10"/>
      <c r="H1" s="10"/>
      <c r="I1" s="10"/>
      <c r="J1" s="10"/>
      <c r="K1" s="10"/>
      <c r="L1" s="11"/>
    </row>
    <row r="2" spans="1:12" customFormat="1" ht="17" thickBot="1" x14ac:dyDescent="0.25">
      <c r="A2" s="4"/>
      <c r="B2" s="2"/>
      <c r="C2" s="2"/>
      <c r="D2" s="2"/>
      <c r="E2" s="2"/>
      <c r="F2" s="2"/>
      <c r="G2" s="2"/>
      <c r="H2" s="2"/>
      <c r="I2" s="2"/>
      <c r="J2" s="2"/>
      <c r="K2" s="2"/>
      <c r="L2" s="5"/>
    </row>
    <row r="3" spans="1:12" customFormat="1" x14ac:dyDescent="0.2">
      <c r="A3" s="307" t="s">
        <v>112</v>
      </c>
      <c r="B3" s="308"/>
      <c r="C3" s="308"/>
      <c r="D3" s="309"/>
      <c r="E3" s="2"/>
      <c r="F3" s="2"/>
      <c r="G3" s="2"/>
      <c r="H3" s="2"/>
      <c r="I3" s="2"/>
      <c r="J3" s="2"/>
      <c r="K3" s="2"/>
      <c r="L3" s="5"/>
    </row>
    <row r="4" spans="1:12" customFormat="1" x14ac:dyDescent="0.2">
      <c r="A4" s="310"/>
      <c r="B4" s="311"/>
      <c r="C4" s="311"/>
      <c r="D4" s="312"/>
      <c r="E4" s="2"/>
      <c r="F4" s="2"/>
      <c r="G4" s="2"/>
      <c r="H4" s="2"/>
      <c r="I4" s="2"/>
      <c r="J4" s="2"/>
      <c r="K4" s="2"/>
      <c r="L4" s="5"/>
    </row>
    <row r="5" spans="1:12" customFormat="1" x14ac:dyDescent="0.2">
      <c r="A5" s="302" t="s">
        <v>77</v>
      </c>
      <c r="B5" s="303"/>
      <c r="C5" s="303"/>
      <c r="D5" s="304"/>
      <c r="E5" s="2"/>
      <c r="F5" s="2"/>
      <c r="G5" s="2"/>
      <c r="H5" s="2"/>
      <c r="I5" s="2"/>
      <c r="J5" s="2"/>
      <c r="K5" s="2"/>
      <c r="L5" s="5"/>
    </row>
    <row r="6" spans="1:12" customFormat="1" x14ac:dyDescent="0.2">
      <c r="A6" s="302" t="s">
        <v>78</v>
      </c>
      <c r="B6" s="303"/>
      <c r="C6" s="303"/>
      <c r="D6" s="304"/>
      <c r="E6" s="2"/>
      <c r="F6" s="2"/>
      <c r="G6" s="2"/>
      <c r="H6" s="2"/>
      <c r="I6" s="2"/>
      <c r="J6" s="2"/>
      <c r="K6" s="2"/>
      <c r="L6" s="5"/>
    </row>
    <row r="7" spans="1:12" customFormat="1" x14ac:dyDescent="0.2">
      <c r="A7" s="302" t="s">
        <v>79</v>
      </c>
      <c r="B7" s="303"/>
      <c r="C7" s="303"/>
      <c r="D7" s="304"/>
      <c r="E7" s="2"/>
      <c r="F7" s="2"/>
      <c r="G7" s="2"/>
      <c r="H7" s="2"/>
      <c r="I7" s="2"/>
      <c r="J7" s="2"/>
      <c r="K7" s="2"/>
      <c r="L7" s="5"/>
    </row>
    <row r="8" spans="1:12" customFormat="1" ht="17" thickBot="1" x14ac:dyDescent="0.25">
      <c r="A8" s="313" t="s">
        <v>80</v>
      </c>
      <c r="B8" s="314"/>
      <c r="C8" s="314"/>
      <c r="D8" s="315"/>
      <c r="E8" s="2"/>
      <c r="F8" s="2"/>
      <c r="G8" s="2"/>
      <c r="H8" s="2"/>
      <c r="I8" s="2"/>
      <c r="J8" s="2"/>
      <c r="K8" s="2"/>
      <c r="L8" s="5"/>
    </row>
    <row r="9" spans="1:12" customFormat="1" ht="17" thickBot="1" x14ac:dyDescent="0.25">
      <c r="A9" s="4"/>
      <c r="B9" s="2"/>
      <c r="C9" s="2"/>
      <c r="D9" s="2"/>
      <c r="E9" s="2"/>
      <c r="F9" s="2"/>
      <c r="G9" s="2"/>
      <c r="H9" s="2"/>
      <c r="I9" s="2"/>
      <c r="J9" s="2"/>
      <c r="K9" s="2"/>
      <c r="L9" s="5"/>
    </row>
    <row r="10" spans="1:12" customFormat="1" x14ac:dyDescent="0.2">
      <c r="A10" s="4"/>
      <c r="B10" s="349" t="s">
        <v>81</v>
      </c>
      <c r="C10" s="350"/>
      <c r="D10" s="2"/>
      <c r="E10" s="2"/>
      <c r="F10" s="2"/>
      <c r="G10" s="2"/>
      <c r="H10" s="2"/>
      <c r="I10" s="2"/>
      <c r="J10" s="2"/>
      <c r="K10" s="2"/>
      <c r="L10" s="5"/>
    </row>
    <row r="11" spans="1:12" customFormat="1" x14ac:dyDescent="0.2">
      <c r="A11" s="4"/>
      <c r="B11" s="119" t="s">
        <v>82</v>
      </c>
      <c r="C11" s="127">
        <f>DadosDep!B12</f>
        <v>3</v>
      </c>
      <c r="D11" s="2"/>
      <c r="E11" s="2"/>
      <c r="F11" s="2"/>
      <c r="G11" s="2"/>
      <c r="H11" s="2"/>
      <c r="I11" s="2"/>
      <c r="J11" s="2"/>
      <c r="K11" s="2"/>
      <c r="L11" s="5"/>
    </row>
    <row r="12" spans="1:12" customFormat="1" x14ac:dyDescent="0.2">
      <c r="A12" s="4"/>
      <c r="B12" s="119" t="s">
        <v>83</v>
      </c>
      <c r="C12" s="127">
        <f>DadosDep!B13</f>
        <v>5</v>
      </c>
      <c r="D12" s="2"/>
      <c r="E12" s="2"/>
      <c r="F12" s="2"/>
      <c r="G12" s="2"/>
      <c r="H12" s="2"/>
      <c r="I12" s="2"/>
      <c r="J12" s="2"/>
      <c r="K12" s="2"/>
      <c r="L12" s="5"/>
    </row>
    <row r="13" spans="1:12" customFormat="1" ht="17" thickBot="1" x14ac:dyDescent="0.25">
      <c r="A13" s="4"/>
      <c r="B13" s="121" t="s">
        <v>57</v>
      </c>
      <c r="C13" s="128">
        <f>DadosDep!B14</f>
        <v>10</v>
      </c>
      <c r="D13" s="2"/>
      <c r="E13" s="2"/>
      <c r="F13" s="2"/>
      <c r="G13" s="2"/>
      <c r="H13" s="2"/>
      <c r="I13" s="2"/>
      <c r="J13" s="2"/>
      <c r="K13" s="2"/>
      <c r="L13" s="5"/>
    </row>
    <row r="14" spans="1:12" customFormat="1" ht="17" thickBot="1" x14ac:dyDescent="0.25">
      <c r="A14" s="4"/>
      <c r="B14" s="2"/>
      <c r="C14" s="2"/>
      <c r="D14" s="2"/>
      <c r="E14" s="2"/>
      <c r="F14" s="2"/>
      <c r="G14" s="2"/>
      <c r="H14" s="2"/>
      <c r="I14" s="2"/>
      <c r="J14" s="2"/>
      <c r="K14" s="2"/>
      <c r="L14" s="5"/>
    </row>
    <row r="15" spans="1:12" customFormat="1" x14ac:dyDescent="0.2">
      <c r="A15" s="4"/>
      <c r="B15" s="316" t="s">
        <v>84</v>
      </c>
      <c r="C15" s="317"/>
      <c r="D15" s="2"/>
      <c r="E15" s="2"/>
      <c r="F15" s="2"/>
      <c r="G15" s="2"/>
      <c r="H15" s="2"/>
      <c r="I15" s="2"/>
      <c r="J15" s="2"/>
      <c r="K15" s="2"/>
      <c r="L15" s="5"/>
    </row>
    <row r="16" spans="1:12" customFormat="1" ht="17" thickBot="1" x14ac:dyDescent="0.25">
      <c r="A16" s="4"/>
      <c r="B16" s="123" t="s">
        <v>17</v>
      </c>
      <c r="C16" s="124">
        <f>IF(C25&gt;=(100-C13),100-C13,C25)</f>
        <v>32.4</v>
      </c>
      <c r="D16" s="2"/>
      <c r="E16" s="2"/>
      <c r="F16" s="2"/>
      <c r="G16" s="2"/>
      <c r="H16" s="2"/>
      <c r="I16" s="2"/>
      <c r="J16" s="2"/>
      <c r="K16" s="2"/>
      <c r="L16" s="5"/>
    </row>
    <row r="17" spans="1:12" customFormat="1" x14ac:dyDescent="0.2">
      <c r="A17" s="4"/>
      <c r="B17" s="2"/>
      <c r="C17" s="2"/>
      <c r="D17" s="2"/>
      <c r="E17" s="2"/>
      <c r="F17" s="2"/>
      <c r="G17" s="2"/>
      <c r="H17" s="2"/>
      <c r="I17" s="2"/>
      <c r="J17" s="2"/>
      <c r="K17" s="2"/>
      <c r="L17" s="5"/>
    </row>
    <row r="18" spans="1:12" customFormat="1" x14ac:dyDescent="0.2">
      <c r="A18" s="4"/>
      <c r="B18" s="79"/>
      <c r="C18" s="80"/>
      <c r="D18" s="2"/>
      <c r="E18" s="2"/>
      <c r="F18" s="2"/>
      <c r="G18" s="2"/>
      <c r="H18" s="2"/>
      <c r="I18" s="2"/>
      <c r="J18" s="2"/>
      <c r="K18" s="2"/>
      <c r="L18" s="5"/>
    </row>
    <row r="19" spans="1:12" customFormat="1" x14ac:dyDescent="0.2">
      <c r="A19" s="4"/>
      <c r="B19" s="81"/>
      <c r="C19" s="82"/>
      <c r="D19" s="2"/>
      <c r="E19" s="2"/>
      <c r="F19" s="2"/>
      <c r="G19" s="2"/>
      <c r="H19" s="2"/>
      <c r="I19" s="2"/>
      <c r="J19" s="2"/>
      <c r="K19" s="2"/>
      <c r="L19" s="5"/>
    </row>
    <row r="20" spans="1:12" customFormat="1" x14ac:dyDescent="0.2">
      <c r="A20" s="4"/>
      <c r="B20" s="81"/>
      <c r="C20" s="82"/>
      <c r="D20" s="2"/>
      <c r="E20" s="2"/>
      <c r="F20" s="2"/>
      <c r="G20" s="2"/>
      <c r="H20" s="2"/>
      <c r="I20" s="2"/>
      <c r="J20" s="2"/>
      <c r="K20" s="2"/>
      <c r="L20" s="5"/>
    </row>
    <row r="21" spans="1:12" customFormat="1" x14ac:dyDescent="0.2">
      <c r="A21" s="4"/>
      <c r="B21" s="81"/>
      <c r="C21" s="82"/>
      <c r="D21" s="2"/>
      <c r="E21" s="2"/>
      <c r="F21" s="2"/>
      <c r="G21" s="2"/>
      <c r="H21" s="2"/>
      <c r="I21" s="2"/>
      <c r="J21" s="2"/>
      <c r="K21" s="2"/>
      <c r="L21" s="5"/>
    </row>
    <row r="22" spans="1:12" customFormat="1" x14ac:dyDescent="0.2">
      <c r="A22" s="4"/>
      <c r="B22" s="83"/>
      <c r="C22" s="84"/>
      <c r="D22" s="2"/>
      <c r="E22" s="2"/>
      <c r="F22" s="2"/>
      <c r="G22" s="2"/>
      <c r="H22" s="2"/>
      <c r="I22" s="2"/>
      <c r="J22" s="2"/>
      <c r="K22" s="2"/>
      <c r="L22" s="5"/>
    </row>
    <row r="23" spans="1:12" customFormat="1" ht="17" thickBot="1" x14ac:dyDescent="0.25">
      <c r="A23" s="25"/>
      <c r="B23" s="26"/>
      <c r="C23" s="26"/>
      <c r="D23" s="26"/>
      <c r="E23" s="26"/>
      <c r="F23" s="97" t="s">
        <v>85</v>
      </c>
      <c r="G23" s="96">
        <f>DadosDep!B18</f>
        <v>550000</v>
      </c>
      <c r="H23" s="26"/>
      <c r="I23" s="97" t="s">
        <v>86</v>
      </c>
      <c r="J23" s="125">
        <f>G23-(G23*C25/100)</f>
        <v>371800</v>
      </c>
      <c r="K23" s="26"/>
      <c r="L23" s="27"/>
    </row>
    <row r="24" spans="1:12" customFormat="1" x14ac:dyDescent="0.2">
      <c r="A24" s="1"/>
      <c r="B24" s="1"/>
      <c r="C24" s="1"/>
      <c r="D24" s="1"/>
      <c r="E24" s="1"/>
      <c r="F24" s="1"/>
      <c r="G24" s="1"/>
      <c r="H24" s="1"/>
      <c r="I24" s="1"/>
      <c r="J24" s="1"/>
      <c r="K24" s="1"/>
      <c r="L24" s="1"/>
    </row>
    <row r="25" spans="1:12" customFormat="1" x14ac:dyDescent="0.2">
      <c r="A25" s="1"/>
      <c r="B25" s="1"/>
      <c r="C25" s="129">
        <f>100*(1-($C$13/100))*((C11/$C$12)*(C11/$C$12))</f>
        <v>32.4</v>
      </c>
      <c r="D25" s="1"/>
      <c r="E25" s="1"/>
      <c r="F25" s="1"/>
      <c r="G25" s="1"/>
      <c r="H25" s="1"/>
      <c r="I25" s="1"/>
      <c r="J25" s="1"/>
      <c r="K25" s="1"/>
      <c r="L25" s="1"/>
    </row>
    <row r="26" spans="1:12" customFormat="1" x14ac:dyDescent="0.2">
      <c r="A26" s="1"/>
      <c r="B26" s="1"/>
      <c r="C26" s="1"/>
      <c r="D26" s="1"/>
      <c r="E26" s="1"/>
      <c r="F26" s="1"/>
      <c r="G26" s="1"/>
      <c r="H26" s="1"/>
      <c r="I26" s="1"/>
      <c r="J26" s="1"/>
      <c r="K26" s="1"/>
      <c r="L26" s="1"/>
    </row>
    <row r="27" spans="1:12" customFormat="1" x14ac:dyDescent="0.2">
      <c r="A27" s="1"/>
      <c r="B27" s="1"/>
      <c r="C27" s="1"/>
      <c r="D27" s="1"/>
      <c r="E27" s="1"/>
      <c r="F27" s="1"/>
      <c r="G27" s="1"/>
      <c r="H27" s="1"/>
      <c r="I27" s="1"/>
      <c r="J27" s="1"/>
      <c r="K27" s="1"/>
      <c r="L27" s="1"/>
    </row>
    <row r="28" spans="1:12" customFormat="1" x14ac:dyDescent="0.2">
      <c r="A28" s="1"/>
      <c r="B28" s="1"/>
      <c r="C28" s="1"/>
      <c r="D28" s="1"/>
      <c r="E28" s="1"/>
      <c r="F28" s="1"/>
      <c r="G28" s="1"/>
      <c r="H28" s="1"/>
      <c r="I28" s="1"/>
      <c r="J28" s="1"/>
      <c r="K28" s="1"/>
      <c r="L28" s="1"/>
    </row>
    <row r="29" spans="1:12" customFormat="1" x14ac:dyDescent="0.2">
      <c r="A29" s="1"/>
      <c r="B29" s="1"/>
      <c r="C29" s="1"/>
      <c r="D29" s="1"/>
      <c r="E29" s="1"/>
      <c r="F29" s="1"/>
      <c r="G29" s="1"/>
      <c r="H29" s="1"/>
      <c r="I29" s="1"/>
      <c r="J29" s="1"/>
      <c r="K29" s="1"/>
      <c r="L29" s="1"/>
    </row>
    <row r="30" spans="1:12" customFormat="1" x14ac:dyDescent="0.2">
      <c r="A30" s="1"/>
      <c r="B30" s="1"/>
      <c r="C30" s="1"/>
      <c r="D30" s="1"/>
      <c r="E30" s="1"/>
      <c r="F30" s="1"/>
      <c r="G30" s="1"/>
      <c r="H30" s="1"/>
      <c r="I30" s="1"/>
      <c r="J30" s="1"/>
      <c r="K30" s="1"/>
      <c r="L30" s="1"/>
    </row>
    <row r="31" spans="1:12" customFormat="1" x14ac:dyDescent="0.2">
      <c r="A31" s="1"/>
      <c r="B31" s="1"/>
      <c r="C31" s="1"/>
      <c r="D31" s="1"/>
      <c r="E31" s="1"/>
      <c r="F31" s="1"/>
      <c r="G31" s="1"/>
      <c r="H31" s="1"/>
      <c r="I31" s="1"/>
      <c r="J31" s="1"/>
      <c r="K31" s="1"/>
      <c r="L31" s="1"/>
    </row>
    <row r="32" spans="1:12" customFormat="1" x14ac:dyDescent="0.2">
      <c r="A32" s="1"/>
      <c r="B32" s="1"/>
      <c r="C32" s="1"/>
      <c r="D32" s="1"/>
      <c r="E32" s="1"/>
      <c r="F32" s="1"/>
      <c r="G32" s="1"/>
      <c r="H32" s="1"/>
      <c r="I32" s="1"/>
      <c r="J32" s="1"/>
      <c r="K32" s="1"/>
      <c r="L32" s="1"/>
    </row>
    <row r="33" spans="1:3" s="1" customFormat="1" x14ac:dyDescent="0.2"/>
    <row r="34" spans="1:3" s="1" customFormat="1" x14ac:dyDescent="0.2"/>
    <row r="35" spans="1:3" s="1" customFormat="1" x14ac:dyDescent="0.2"/>
    <row r="36" spans="1:3" s="1" customFormat="1" x14ac:dyDescent="0.2"/>
    <row r="37" spans="1:3" s="1" customFormat="1" x14ac:dyDescent="0.2"/>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customFormat="1" x14ac:dyDescent="0.2">
      <c r="A46" s="70">
        <f t="shared" ref="A46:A66" si="0">$C$12*B46/100</f>
        <v>0</v>
      </c>
      <c r="B46" s="86">
        <v>0</v>
      </c>
      <c r="C46" s="130">
        <f>100*(1-($C$13/100))*((A46/$C$12)*(A46/$C$12))</f>
        <v>0</v>
      </c>
    </row>
    <row r="47" spans="1:3" customFormat="1" x14ac:dyDescent="0.2">
      <c r="A47" s="70">
        <f t="shared" si="0"/>
        <v>0.25</v>
      </c>
      <c r="B47" s="86">
        <v>5</v>
      </c>
      <c r="C47" s="130">
        <f t="shared" ref="C47:C66" si="1">100*(1-($C$13/100))*((A47/$C$12)*(A47/$C$12))</f>
        <v>0.22500000000000003</v>
      </c>
    </row>
    <row r="48" spans="1:3" customFormat="1" x14ac:dyDescent="0.2">
      <c r="A48" s="70">
        <f t="shared" si="0"/>
        <v>0.5</v>
      </c>
      <c r="B48" s="86">
        <v>10</v>
      </c>
      <c r="C48" s="130">
        <f t="shared" si="1"/>
        <v>0.90000000000000013</v>
      </c>
    </row>
    <row r="49" spans="1:3" customFormat="1" x14ac:dyDescent="0.2">
      <c r="A49" s="70">
        <f t="shared" si="0"/>
        <v>0.75</v>
      </c>
      <c r="B49" s="86">
        <v>15</v>
      </c>
      <c r="C49" s="130">
        <f t="shared" si="1"/>
        <v>2.0249999999999999</v>
      </c>
    </row>
    <row r="50" spans="1:3" customFormat="1" x14ac:dyDescent="0.2">
      <c r="A50" s="70">
        <f t="shared" si="0"/>
        <v>1</v>
      </c>
      <c r="B50" s="86">
        <v>20</v>
      </c>
      <c r="C50" s="130">
        <f t="shared" si="1"/>
        <v>3.6000000000000005</v>
      </c>
    </row>
    <row r="51" spans="1:3" customFormat="1" x14ac:dyDescent="0.2">
      <c r="A51" s="70">
        <f t="shared" si="0"/>
        <v>1.25</v>
      </c>
      <c r="B51" s="86">
        <v>25</v>
      </c>
      <c r="C51" s="130">
        <f t="shared" si="1"/>
        <v>5.625</v>
      </c>
    </row>
    <row r="52" spans="1:3" customFormat="1" x14ac:dyDescent="0.2">
      <c r="A52" s="70">
        <f t="shared" si="0"/>
        <v>1.5</v>
      </c>
      <c r="B52" s="86">
        <v>30</v>
      </c>
      <c r="C52" s="130">
        <f t="shared" si="1"/>
        <v>8.1</v>
      </c>
    </row>
    <row r="53" spans="1:3" customFormat="1" x14ac:dyDescent="0.2">
      <c r="A53" s="70">
        <f t="shared" si="0"/>
        <v>1.75</v>
      </c>
      <c r="B53" s="86">
        <v>35</v>
      </c>
      <c r="C53" s="130">
        <f t="shared" si="1"/>
        <v>11.024999999999999</v>
      </c>
    </row>
    <row r="54" spans="1:3" customFormat="1" x14ac:dyDescent="0.2">
      <c r="A54" s="70">
        <f t="shared" si="0"/>
        <v>2</v>
      </c>
      <c r="B54" s="86">
        <v>40</v>
      </c>
      <c r="C54" s="130">
        <f t="shared" si="1"/>
        <v>14.400000000000002</v>
      </c>
    </row>
    <row r="55" spans="1:3" customFormat="1" x14ac:dyDescent="0.2">
      <c r="A55" s="70">
        <f t="shared" si="0"/>
        <v>2.25</v>
      </c>
      <c r="B55" s="86">
        <v>45</v>
      </c>
      <c r="C55" s="130">
        <f t="shared" si="1"/>
        <v>18.225000000000001</v>
      </c>
    </row>
    <row r="56" spans="1:3" customFormat="1" x14ac:dyDescent="0.2">
      <c r="A56" s="70">
        <f t="shared" si="0"/>
        <v>2.5</v>
      </c>
      <c r="B56" s="86">
        <v>50</v>
      </c>
      <c r="C56" s="130">
        <f t="shared" si="1"/>
        <v>22.5</v>
      </c>
    </row>
    <row r="57" spans="1:3" customFormat="1" x14ac:dyDescent="0.2">
      <c r="A57" s="70">
        <f t="shared" si="0"/>
        <v>2.75</v>
      </c>
      <c r="B57" s="86">
        <v>55</v>
      </c>
      <c r="C57" s="130">
        <f t="shared" si="1"/>
        <v>27.225000000000005</v>
      </c>
    </row>
    <row r="58" spans="1:3" customFormat="1" x14ac:dyDescent="0.2">
      <c r="A58" s="70">
        <f t="shared" si="0"/>
        <v>3</v>
      </c>
      <c r="B58" s="86">
        <v>60</v>
      </c>
      <c r="C58" s="130">
        <f t="shared" si="1"/>
        <v>32.4</v>
      </c>
    </row>
    <row r="59" spans="1:3" customFormat="1" x14ac:dyDescent="0.2">
      <c r="A59" s="70">
        <f t="shared" si="0"/>
        <v>3.25</v>
      </c>
      <c r="B59" s="86">
        <v>65</v>
      </c>
      <c r="C59" s="130">
        <f t="shared" si="1"/>
        <v>38.025000000000006</v>
      </c>
    </row>
    <row r="60" spans="1:3" customFormat="1" x14ac:dyDescent="0.2">
      <c r="A60" s="70">
        <f t="shared" si="0"/>
        <v>3.5</v>
      </c>
      <c r="B60" s="86">
        <v>70</v>
      </c>
      <c r="C60" s="130">
        <f t="shared" si="1"/>
        <v>44.099999999999994</v>
      </c>
    </row>
    <row r="61" spans="1:3" customFormat="1" x14ac:dyDescent="0.2">
      <c r="A61" s="70">
        <f t="shared" si="0"/>
        <v>3.75</v>
      </c>
      <c r="B61" s="86">
        <v>75</v>
      </c>
      <c r="C61" s="130">
        <f t="shared" si="1"/>
        <v>50.625</v>
      </c>
    </row>
    <row r="62" spans="1:3" customFormat="1" x14ac:dyDescent="0.2">
      <c r="A62" s="70">
        <f t="shared" si="0"/>
        <v>4</v>
      </c>
      <c r="B62" s="86">
        <v>80</v>
      </c>
      <c r="C62" s="130">
        <f t="shared" si="1"/>
        <v>57.600000000000009</v>
      </c>
    </row>
    <row r="63" spans="1:3" customFormat="1" x14ac:dyDescent="0.2">
      <c r="A63" s="70">
        <f t="shared" si="0"/>
        <v>4.25</v>
      </c>
      <c r="B63" s="86">
        <v>85</v>
      </c>
      <c r="C63" s="130">
        <f t="shared" si="1"/>
        <v>65.024999999999991</v>
      </c>
    </row>
    <row r="64" spans="1:3" customFormat="1" x14ac:dyDescent="0.2">
      <c r="A64" s="70">
        <f t="shared" si="0"/>
        <v>4.5</v>
      </c>
      <c r="B64" s="86">
        <v>90</v>
      </c>
      <c r="C64" s="130">
        <f t="shared" si="1"/>
        <v>72.900000000000006</v>
      </c>
    </row>
    <row r="65" spans="1:3" customFormat="1" x14ac:dyDescent="0.2">
      <c r="A65" s="70">
        <f t="shared" si="0"/>
        <v>4.75</v>
      </c>
      <c r="B65" s="86">
        <v>95</v>
      </c>
      <c r="C65" s="130">
        <f t="shared" si="1"/>
        <v>81.224999999999994</v>
      </c>
    </row>
    <row r="66" spans="1:3" customFormat="1" x14ac:dyDescent="0.2">
      <c r="A66" s="70">
        <f t="shared" si="0"/>
        <v>5</v>
      </c>
      <c r="B66" s="86">
        <v>100</v>
      </c>
      <c r="C66" s="130">
        <f t="shared" si="1"/>
        <v>90</v>
      </c>
    </row>
  </sheetData>
  <mergeCells count="9">
    <mergeCell ref="A8:D8"/>
    <mergeCell ref="B10:C10"/>
    <mergeCell ref="B15:C15"/>
    <mergeCell ref="A1:D1"/>
    <mergeCell ref="A3:D3"/>
    <mergeCell ref="A4:D4"/>
    <mergeCell ref="A5:D5"/>
    <mergeCell ref="A6:D6"/>
    <mergeCell ref="A7:D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opLeftCell="A3" workbookViewId="0">
      <selection activeCell="I24" sqref="I24"/>
    </sheetView>
  </sheetViews>
  <sheetFormatPr baseColWidth="10" defaultColWidth="7.33203125" defaultRowHeight="16" x14ac:dyDescent="0.2"/>
  <cols>
    <col min="1" max="1" width="1.33203125" style="1" customWidth="1"/>
    <col min="2" max="2" width="3.6640625" customWidth="1"/>
    <col min="4" max="4" width="19.5" customWidth="1"/>
    <col min="5" max="5" width="11.1640625" bestFit="1" customWidth="1"/>
    <col min="6" max="6" width="2" customWidth="1"/>
    <col min="15" max="25" width="7.6640625" style="1" customWidth="1"/>
  </cols>
  <sheetData>
    <row r="1" spans="2:14" customFormat="1" x14ac:dyDescent="0.2">
      <c r="B1" s="1"/>
      <c r="C1" s="1"/>
      <c r="D1" s="1"/>
      <c r="E1" s="1"/>
      <c r="F1" s="1"/>
      <c r="G1" s="1"/>
      <c r="H1" s="1"/>
      <c r="I1" s="1"/>
      <c r="J1" s="1"/>
      <c r="K1" s="1"/>
      <c r="L1" s="1"/>
      <c r="M1" s="1"/>
      <c r="N1" s="1"/>
    </row>
    <row r="2" spans="2:14" customFormat="1" ht="17" thickBot="1" x14ac:dyDescent="0.25">
      <c r="B2" s="1"/>
      <c r="C2" s="1"/>
      <c r="D2" s="1"/>
      <c r="E2" s="1"/>
      <c r="F2" s="1"/>
      <c r="G2" s="1"/>
      <c r="H2" s="1"/>
      <c r="I2" s="1"/>
      <c r="J2" s="1"/>
      <c r="K2" s="1"/>
      <c r="L2" s="1"/>
      <c r="M2" s="1"/>
      <c r="N2" s="1"/>
    </row>
    <row r="3" spans="2:14" customFormat="1" x14ac:dyDescent="0.2">
      <c r="B3" s="353" t="s">
        <v>16</v>
      </c>
      <c r="C3" s="354"/>
      <c r="D3" s="354"/>
      <c r="E3" s="354"/>
      <c r="F3" s="10"/>
      <c r="G3" s="10"/>
      <c r="H3" s="10"/>
      <c r="I3" s="10"/>
      <c r="J3" s="10"/>
      <c r="K3" s="10"/>
      <c r="L3" s="10"/>
      <c r="M3" s="10"/>
      <c r="N3" s="11"/>
    </row>
    <row r="4" spans="2:14" customFormat="1" x14ac:dyDescent="0.2">
      <c r="B4" s="131"/>
      <c r="C4" s="132"/>
      <c r="D4" s="132"/>
      <c r="E4" s="132"/>
      <c r="F4" s="2"/>
      <c r="G4" s="2"/>
      <c r="H4" s="2"/>
      <c r="I4" s="2"/>
      <c r="J4" s="2"/>
      <c r="K4" s="2"/>
      <c r="L4" s="2"/>
      <c r="M4" s="2"/>
      <c r="N4" s="5"/>
    </row>
    <row r="5" spans="2:14" customFormat="1" x14ac:dyDescent="0.2">
      <c r="B5" s="355" t="s">
        <v>113</v>
      </c>
      <c r="C5" s="356"/>
      <c r="D5" s="356"/>
      <c r="E5" s="356"/>
      <c r="F5" s="356"/>
      <c r="G5" s="357"/>
      <c r="H5" s="2"/>
      <c r="I5" s="2"/>
      <c r="J5" s="2"/>
      <c r="K5" s="2"/>
      <c r="L5" s="2"/>
      <c r="M5" s="2"/>
      <c r="N5" s="5"/>
    </row>
    <row r="6" spans="2:14" customFormat="1" x14ac:dyDescent="0.2">
      <c r="B6" s="358" t="s">
        <v>114</v>
      </c>
      <c r="C6" s="359"/>
      <c r="D6" s="359"/>
      <c r="E6" s="359"/>
      <c r="F6" s="359"/>
      <c r="G6" s="359"/>
      <c r="H6" s="2"/>
      <c r="I6" s="2"/>
      <c r="J6" s="2"/>
      <c r="K6" s="2"/>
      <c r="L6" s="2"/>
      <c r="M6" s="2"/>
      <c r="N6" s="5"/>
    </row>
    <row r="7" spans="2:14" customFormat="1" x14ac:dyDescent="0.2">
      <c r="B7" s="358" t="s">
        <v>115</v>
      </c>
      <c r="C7" s="359"/>
      <c r="D7" s="359"/>
      <c r="E7" s="359"/>
      <c r="F7" s="359"/>
      <c r="G7" s="359"/>
      <c r="H7" s="2"/>
      <c r="I7" s="2"/>
      <c r="J7" s="2"/>
      <c r="K7" s="2"/>
      <c r="L7" s="2"/>
      <c r="M7" s="2"/>
      <c r="N7" s="5"/>
    </row>
    <row r="8" spans="2:14" customFormat="1" x14ac:dyDescent="0.2">
      <c r="B8" s="358" t="s">
        <v>116</v>
      </c>
      <c r="C8" s="359"/>
      <c r="D8" s="359"/>
      <c r="E8" s="359"/>
      <c r="F8" s="359"/>
      <c r="G8" s="359"/>
      <c r="H8" s="2"/>
      <c r="I8" s="2"/>
      <c r="J8" s="2"/>
      <c r="K8" s="2"/>
      <c r="L8" s="2"/>
      <c r="M8" s="2"/>
      <c r="N8" s="5"/>
    </row>
    <row r="9" spans="2:14" customFormat="1" ht="17" thickBot="1" x14ac:dyDescent="0.25">
      <c r="B9" s="4"/>
      <c r="C9" s="2"/>
      <c r="D9" s="2"/>
      <c r="E9" s="2"/>
      <c r="F9" s="2"/>
      <c r="G9" s="2"/>
      <c r="H9" s="2"/>
      <c r="I9" s="2"/>
      <c r="J9" s="2"/>
      <c r="K9" s="2"/>
      <c r="L9" s="2"/>
      <c r="M9" s="2"/>
      <c r="N9" s="5"/>
    </row>
    <row r="10" spans="2:14" customFormat="1" ht="17" thickBot="1" x14ac:dyDescent="0.25">
      <c r="B10" s="351" t="s">
        <v>18</v>
      </c>
      <c r="C10" s="352"/>
      <c r="D10" s="352"/>
      <c r="E10" s="22" t="s">
        <v>117</v>
      </c>
      <c r="F10" s="2"/>
      <c r="G10" s="2"/>
      <c r="H10" s="2"/>
      <c r="I10" s="2"/>
      <c r="J10" s="2"/>
      <c r="K10" s="2"/>
      <c r="L10" s="2"/>
      <c r="M10" s="2"/>
      <c r="N10" s="5"/>
    </row>
    <row r="11" spans="2:14" customFormat="1" x14ac:dyDescent="0.2">
      <c r="B11" s="133" t="s">
        <v>21</v>
      </c>
      <c r="C11" s="360" t="s">
        <v>22</v>
      </c>
      <c r="D11" s="360"/>
      <c r="E11" s="134">
        <v>0</v>
      </c>
      <c r="F11" s="2"/>
      <c r="G11" s="29" t="s">
        <v>17</v>
      </c>
      <c r="H11" s="135">
        <f>IF(DadosDep!D50=Heidecke!B11,Heidecke!E11)+IF(DadosDep!D50=Heidecke!B12,Heidecke!E12)+IF(DadosDep!D50=Heidecke!B13,Heidecke!E13)+IF(DadosDep!D50=Heidecke!B14,Heidecke!E14)+IF(DadosDep!D50=Heidecke!B15,Heidecke!E15)+IF(DadosDep!D50=Heidecke!B16,Heidecke!E16)+IF(DadosDep!D50=Heidecke!B17,Heidecke!E17)+IF(DadosDep!D50=Heidecke!B18,Heidecke!E18)+IF(DadosDep!D50=Heidecke!B19,Heidecke!E19)</f>
        <v>33.200000000000003</v>
      </c>
      <c r="I11" s="2"/>
      <c r="J11" s="2"/>
      <c r="K11" s="2"/>
      <c r="L11" s="2"/>
      <c r="M11" s="2"/>
      <c r="N11" s="5"/>
    </row>
    <row r="12" spans="2:14" customFormat="1" ht="17" thickBot="1" x14ac:dyDescent="0.25">
      <c r="B12" s="133" t="s">
        <v>20</v>
      </c>
      <c r="C12" s="360" t="s">
        <v>23</v>
      </c>
      <c r="D12" s="360"/>
      <c r="E12" s="136">
        <v>3.2000000000000001E-2</v>
      </c>
      <c r="F12" s="2"/>
      <c r="G12" s="137" t="s">
        <v>19</v>
      </c>
      <c r="H12" s="138" t="str">
        <f>DadosDep!D50</f>
        <v>f</v>
      </c>
      <c r="I12" s="2"/>
      <c r="J12" s="2"/>
      <c r="K12" s="2"/>
      <c r="L12" s="2"/>
      <c r="M12" s="2"/>
      <c r="N12" s="5"/>
    </row>
    <row r="13" spans="2:14" customFormat="1" x14ac:dyDescent="0.2">
      <c r="B13" s="133" t="s">
        <v>24</v>
      </c>
      <c r="C13" s="360" t="s">
        <v>25</v>
      </c>
      <c r="D13" s="360"/>
      <c r="E13" s="136">
        <v>2.52</v>
      </c>
      <c r="F13" s="2"/>
      <c r="G13" s="2"/>
      <c r="H13" s="2"/>
      <c r="I13" s="2"/>
      <c r="J13" s="2"/>
      <c r="K13" s="2"/>
      <c r="L13" s="2"/>
      <c r="M13" s="2"/>
      <c r="N13" s="5"/>
    </row>
    <row r="14" spans="2:14" customFormat="1" x14ac:dyDescent="0.2">
      <c r="B14" s="133" t="s">
        <v>26</v>
      </c>
      <c r="C14" s="360" t="s">
        <v>27</v>
      </c>
      <c r="D14" s="360"/>
      <c r="E14" s="136">
        <v>8.09</v>
      </c>
      <c r="F14" s="2"/>
      <c r="G14" s="2"/>
      <c r="H14" s="2"/>
      <c r="I14" s="2"/>
      <c r="J14" s="2"/>
      <c r="K14" s="2"/>
      <c r="L14" s="2"/>
      <c r="M14" s="2"/>
      <c r="N14" s="5"/>
    </row>
    <row r="15" spans="2:14" customFormat="1" x14ac:dyDescent="0.2">
      <c r="B15" s="133" t="s">
        <v>28</v>
      </c>
      <c r="C15" s="360" t="s">
        <v>29</v>
      </c>
      <c r="D15" s="360"/>
      <c r="E15" s="136">
        <v>18.100000000000001</v>
      </c>
      <c r="F15" s="2"/>
      <c r="G15" s="79"/>
      <c r="H15" s="80"/>
      <c r="I15" s="2"/>
      <c r="J15" s="2"/>
      <c r="K15" s="2"/>
      <c r="L15" s="2"/>
      <c r="M15" s="2"/>
      <c r="N15" s="5"/>
    </row>
    <row r="16" spans="2:14" customFormat="1" x14ac:dyDescent="0.2">
      <c r="B16" s="133" t="s">
        <v>30</v>
      </c>
      <c r="C16" s="360" t="s">
        <v>31</v>
      </c>
      <c r="D16" s="360"/>
      <c r="E16" s="136">
        <v>33.200000000000003</v>
      </c>
      <c r="F16" s="2"/>
      <c r="G16" s="81"/>
      <c r="H16" s="82"/>
      <c r="I16" s="2"/>
      <c r="J16" s="2"/>
      <c r="K16" s="2"/>
      <c r="L16" s="2"/>
      <c r="M16" s="2"/>
      <c r="N16" s="5"/>
    </row>
    <row r="17" spans="2:14" customFormat="1" x14ac:dyDescent="0.2">
      <c r="B17" s="133" t="s">
        <v>32</v>
      </c>
      <c r="C17" s="360" t="s">
        <v>33</v>
      </c>
      <c r="D17" s="360"/>
      <c r="E17" s="136">
        <v>51.6</v>
      </c>
      <c r="F17" s="2"/>
      <c r="G17" s="81"/>
      <c r="H17" s="82"/>
      <c r="I17" s="2"/>
      <c r="J17" s="2"/>
      <c r="K17" s="2"/>
      <c r="L17" s="2"/>
      <c r="M17" s="2"/>
      <c r="N17" s="5"/>
    </row>
    <row r="18" spans="2:14" customFormat="1" x14ac:dyDescent="0.2">
      <c r="B18" s="133" t="s">
        <v>34</v>
      </c>
      <c r="C18" s="360" t="s">
        <v>35</v>
      </c>
      <c r="D18" s="360"/>
      <c r="E18" s="136">
        <v>75.2</v>
      </c>
      <c r="F18" s="2"/>
      <c r="G18" s="81"/>
      <c r="H18" s="82"/>
      <c r="I18" s="2"/>
      <c r="J18" s="2"/>
      <c r="K18" s="2"/>
      <c r="L18" s="2"/>
      <c r="M18" s="2"/>
      <c r="N18" s="5"/>
    </row>
    <row r="19" spans="2:14" customFormat="1" ht="17" thickBot="1" x14ac:dyDescent="0.25">
      <c r="B19" s="139" t="s">
        <v>36</v>
      </c>
      <c r="C19" s="361" t="s">
        <v>37</v>
      </c>
      <c r="D19" s="361"/>
      <c r="E19" s="140">
        <v>100</v>
      </c>
      <c r="F19" s="2"/>
      <c r="G19" s="83"/>
      <c r="H19" s="84"/>
      <c r="I19" s="2"/>
      <c r="J19" s="2"/>
      <c r="K19" s="2"/>
      <c r="L19" s="2"/>
      <c r="M19" s="2"/>
      <c r="N19" s="5"/>
    </row>
    <row r="20" spans="2:14" customFormat="1" ht="17" thickBot="1" x14ac:dyDescent="0.25">
      <c r="B20" s="25"/>
      <c r="C20" s="26"/>
      <c r="D20" s="26"/>
      <c r="E20" s="26"/>
      <c r="F20" s="26"/>
      <c r="G20" s="26"/>
      <c r="H20" s="26"/>
      <c r="I20" s="26"/>
      <c r="J20" s="26"/>
      <c r="K20" s="26"/>
      <c r="L20" s="26"/>
      <c r="M20" s="26"/>
      <c r="N20" s="27"/>
    </row>
    <row r="21" spans="2:14" customFormat="1" x14ac:dyDescent="0.2">
      <c r="B21" s="1"/>
      <c r="C21" s="1"/>
      <c r="D21" s="1"/>
      <c r="E21" s="1"/>
      <c r="F21" s="1"/>
      <c r="G21" s="1"/>
      <c r="H21" s="1"/>
      <c r="I21" s="1"/>
      <c r="J21" s="1"/>
      <c r="K21" s="1"/>
      <c r="L21" s="1"/>
      <c r="M21" s="1"/>
      <c r="N21" s="1"/>
    </row>
    <row r="22" spans="2:14" customFormat="1" x14ac:dyDescent="0.2">
      <c r="B22" s="1"/>
      <c r="C22" s="1"/>
      <c r="D22" s="1"/>
      <c r="E22" s="1"/>
      <c r="F22" s="1"/>
      <c r="G22" s="1"/>
      <c r="H22" s="1"/>
      <c r="I22" s="1"/>
      <c r="J22" s="1"/>
      <c r="K22" s="1"/>
      <c r="L22" s="1"/>
      <c r="M22" s="1"/>
      <c r="N22" s="1"/>
    </row>
    <row r="23" spans="2:14" customFormat="1" x14ac:dyDescent="0.2">
      <c r="B23" s="1"/>
      <c r="C23" s="1"/>
      <c r="D23" s="1"/>
      <c r="E23" s="1"/>
      <c r="F23" s="1"/>
      <c r="G23" s="1"/>
      <c r="H23" s="1"/>
      <c r="I23" s="1"/>
      <c r="J23" s="1"/>
      <c r="K23" s="1"/>
      <c r="L23" s="1"/>
      <c r="M23" s="1"/>
      <c r="N23" s="1"/>
    </row>
    <row r="24" spans="2:14" customFormat="1" x14ac:dyDescent="0.2">
      <c r="B24" s="1"/>
      <c r="C24" s="1"/>
      <c r="D24" s="1"/>
      <c r="E24" s="1"/>
      <c r="F24" s="1"/>
      <c r="G24" s="1"/>
      <c r="H24" s="1"/>
      <c r="I24" s="1"/>
      <c r="J24" s="1"/>
      <c r="K24" s="1"/>
      <c r="L24" s="1"/>
      <c r="M24" s="1"/>
      <c r="N24" s="1"/>
    </row>
    <row r="25" spans="2:14" customFormat="1" x14ac:dyDescent="0.2">
      <c r="B25" s="1"/>
      <c r="C25" s="1"/>
      <c r="D25" s="1"/>
      <c r="E25" s="1"/>
      <c r="F25" s="1"/>
      <c r="G25" s="1"/>
      <c r="H25" s="1"/>
      <c r="I25" s="1"/>
      <c r="J25" s="1"/>
      <c r="K25" s="1"/>
      <c r="L25" s="1"/>
      <c r="M25" s="1"/>
      <c r="N25" s="1"/>
    </row>
    <row r="26" spans="2:14" customFormat="1" x14ac:dyDescent="0.2">
      <c r="B26" s="1"/>
      <c r="C26" s="1"/>
      <c r="D26" s="1"/>
      <c r="E26" s="1"/>
      <c r="F26" s="1"/>
      <c r="G26" s="1"/>
      <c r="H26" s="1"/>
      <c r="I26" s="1"/>
      <c r="J26" s="1"/>
      <c r="K26" s="1"/>
      <c r="L26" s="1"/>
      <c r="M26" s="1"/>
      <c r="N26" s="1"/>
    </row>
    <row r="27" spans="2:14" customFormat="1" x14ac:dyDescent="0.2">
      <c r="B27" s="1"/>
      <c r="C27" s="1"/>
      <c r="D27" s="1"/>
      <c r="E27" s="1"/>
      <c r="F27" s="1"/>
      <c r="G27" s="1"/>
      <c r="H27" s="1"/>
      <c r="I27" s="1"/>
      <c r="J27" s="1"/>
      <c r="K27" s="1"/>
      <c r="L27" s="1"/>
      <c r="M27" s="1"/>
      <c r="N27" s="1"/>
    </row>
    <row r="28" spans="2:14" customFormat="1" x14ac:dyDescent="0.2">
      <c r="B28" s="1"/>
      <c r="C28" s="1"/>
      <c r="D28" s="1"/>
      <c r="E28" s="1"/>
      <c r="F28" s="1"/>
      <c r="G28" s="1"/>
      <c r="H28" s="1"/>
      <c r="I28" s="1"/>
      <c r="J28" s="1"/>
      <c r="K28" s="1"/>
      <c r="L28" s="1"/>
      <c r="M28" s="1"/>
      <c r="N28" s="1"/>
    </row>
    <row r="29" spans="2:14" customFormat="1" x14ac:dyDescent="0.2">
      <c r="B29" s="1"/>
      <c r="C29" s="1"/>
      <c r="D29" s="1"/>
      <c r="E29" s="1"/>
      <c r="F29" s="1"/>
      <c r="G29" s="1"/>
      <c r="H29" s="1"/>
      <c r="I29" s="1"/>
      <c r="J29" s="1"/>
      <c r="K29" s="1"/>
      <c r="L29" s="1"/>
      <c r="M29" s="1"/>
      <c r="N29" s="1"/>
    </row>
    <row r="30" spans="2:14" customFormat="1" x14ac:dyDescent="0.2">
      <c r="B30" s="141" t="s">
        <v>21</v>
      </c>
      <c r="C30" s="142">
        <f t="shared" ref="C30:C38" si="0">E11</f>
        <v>0</v>
      </c>
    </row>
    <row r="31" spans="2:14" customFormat="1" x14ac:dyDescent="0.2">
      <c r="B31" s="141" t="s">
        <v>20</v>
      </c>
      <c r="C31" s="142">
        <f t="shared" si="0"/>
        <v>3.2000000000000001E-2</v>
      </c>
    </row>
    <row r="32" spans="2:14" customFormat="1" x14ac:dyDescent="0.2">
      <c r="B32" s="141" t="s">
        <v>24</v>
      </c>
      <c r="C32" s="142">
        <f t="shared" si="0"/>
        <v>2.52</v>
      </c>
    </row>
    <row r="33" spans="2:3" customFormat="1" x14ac:dyDescent="0.2">
      <c r="B33" s="141" t="s">
        <v>26</v>
      </c>
      <c r="C33" s="142">
        <f t="shared" si="0"/>
        <v>8.09</v>
      </c>
    </row>
    <row r="34" spans="2:3" customFormat="1" x14ac:dyDescent="0.2">
      <c r="B34" s="141" t="s">
        <v>28</v>
      </c>
      <c r="C34" s="142">
        <f t="shared" si="0"/>
        <v>18.100000000000001</v>
      </c>
    </row>
    <row r="35" spans="2:3" customFormat="1" x14ac:dyDescent="0.2">
      <c r="B35" s="141" t="s">
        <v>30</v>
      </c>
      <c r="C35" s="142">
        <f t="shared" si="0"/>
        <v>33.200000000000003</v>
      </c>
    </row>
    <row r="36" spans="2:3" customFormat="1" x14ac:dyDescent="0.2">
      <c r="B36" s="141" t="s">
        <v>32</v>
      </c>
      <c r="C36" s="142">
        <f t="shared" si="0"/>
        <v>51.6</v>
      </c>
    </row>
    <row r="37" spans="2:3" customFormat="1" x14ac:dyDescent="0.2">
      <c r="B37" s="141" t="s">
        <v>34</v>
      </c>
      <c r="C37" s="142">
        <f t="shared" si="0"/>
        <v>75.2</v>
      </c>
    </row>
    <row r="38" spans="2:3" customFormat="1" ht="17" thickBot="1" x14ac:dyDescent="0.25">
      <c r="B38" s="143" t="s">
        <v>36</v>
      </c>
      <c r="C38" s="142">
        <f t="shared" si="0"/>
        <v>100</v>
      </c>
    </row>
  </sheetData>
  <mergeCells count="15">
    <mergeCell ref="C17:D17"/>
    <mergeCell ref="C18:D18"/>
    <mergeCell ref="C19:D19"/>
    <mergeCell ref="C11:D11"/>
    <mergeCell ref="C12:D12"/>
    <mergeCell ref="C13:D13"/>
    <mergeCell ref="C14:D14"/>
    <mergeCell ref="C15:D15"/>
    <mergeCell ref="C16:D16"/>
    <mergeCell ref="B10:D10"/>
    <mergeCell ref="B3:E3"/>
    <mergeCell ref="B5:G5"/>
    <mergeCell ref="B6:G6"/>
    <mergeCell ref="B7:G7"/>
    <mergeCell ref="B8:G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workbookViewId="0">
      <selection activeCell="H10" sqref="H10:I10"/>
    </sheetView>
  </sheetViews>
  <sheetFormatPr baseColWidth="10" defaultColWidth="7.33203125" defaultRowHeight="16" x14ac:dyDescent="0.2"/>
  <cols>
    <col min="1" max="1" width="12.1640625" style="1" customWidth="1"/>
    <col min="2" max="2" width="1.83203125" customWidth="1"/>
    <col min="3" max="3" width="2.33203125" customWidth="1"/>
    <col min="4" max="4" width="27.83203125" customWidth="1"/>
    <col min="5" max="5" width="10.1640625" customWidth="1"/>
    <col min="6" max="6" width="1.6640625" customWidth="1"/>
    <col min="7" max="7" width="7" customWidth="1"/>
    <col min="8" max="8" width="11.6640625" customWidth="1"/>
    <col min="9" max="9" width="18" customWidth="1"/>
    <col min="10" max="10" width="2.33203125" customWidth="1"/>
    <col min="11" max="21" width="7.6640625" style="1" customWidth="1"/>
  </cols>
  <sheetData>
    <row r="1" spans="2:10" customFormat="1" ht="17" thickBot="1" x14ac:dyDescent="0.25">
      <c r="B1" s="1"/>
      <c r="C1" s="1"/>
      <c r="D1" s="1"/>
      <c r="E1" s="1"/>
      <c r="F1" s="1"/>
      <c r="G1" s="1"/>
      <c r="H1" s="1"/>
      <c r="I1" s="1"/>
      <c r="J1" s="1"/>
    </row>
    <row r="2" spans="2:10" customFormat="1" ht="18" x14ac:dyDescent="0.2">
      <c r="B2" s="305" t="s">
        <v>38</v>
      </c>
      <c r="C2" s="306"/>
      <c r="D2" s="306"/>
      <c r="E2" s="10"/>
      <c r="F2" s="10"/>
      <c r="G2" s="10"/>
      <c r="H2" s="10"/>
      <c r="I2" s="10"/>
      <c r="J2" s="11"/>
    </row>
    <row r="3" spans="2:10" customFormat="1" ht="18" x14ac:dyDescent="0.2">
      <c r="B3" s="144"/>
      <c r="C3" s="2"/>
      <c r="D3" s="2"/>
      <c r="E3" s="2"/>
      <c r="F3" s="2"/>
      <c r="G3" s="2"/>
      <c r="H3" s="2"/>
      <c r="I3" s="2"/>
      <c r="J3" s="5"/>
    </row>
    <row r="4" spans="2:10" customFormat="1" ht="19" thickBot="1" x14ac:dyDescent="0.25">
      <c r="B4" s="144"/>
      <c r="C4" s="362" t="s">
        <v>118</v>
      </c>
      <c r="D4" s="362"/>
      <c r="E4" s="362"/>
      <c r="F4" s="2"/>
      <c r="G4" s="2"/>
      <c r="H4" s="2"/>
      <c r="I4" s="2"/>
      <c r="J4" s="5"/>
    </row>
    <row r="5" spans="2:10" customFormat="1" ht="17" thickBot="1" x14ac:dyDescent="0.25">
      <c r="B5" s="4"/>
      <c r="C5" s="2"/>
      <c r="D5" s="2"/>
      <c r="E5" s="2"/>
      <c r="F5" s="2"/>
      <c r="G5" s="363" t="s">
        <v>119</v>
      </c>
      <c r="H5" s="364"/>
      <c r="I5" s="145">
        <f>DadosDep!D66</f>
        <v>60</v>
      </c>
      <c r="J5" s="5"/>
    </row>
    <row r="6" spans="2:10" customFormat="1" ht="19" thickBot="1" x14ac:dyDescent="0.25">
      <c r="B6" s="4"/>
      <c r="C6" s="365" t="s">
        <v>120</v>
      </c>
      <c r="D6" s="365"/>
      <c r="E6" s="365"/>
      <c r="F6" s="2"/>
      <c r="G6" s="146" t="s">
        <v>6</v>
      </c>
      <c r="H6" s="223">
        <f>IF(H28&gt;=(100-H13),100,H28)</f>
        <v>65.26400000000001</v>
      </c>
      <c r="I6" s="44"/>
      <c r="J6" s="5"/>
    </row>
    <row r="7" spans="2:10" customFormat="1" ht="17" thickBot="1" x14ac:dyDescent="0.25">
      <c r="B7" s="4"/>
      <c r="C7" s="147"/>
      <c r="D7" s="147"/>
      <c r="E7" s="2"/>
      <c r="F7" s="2"/>
      <c r="G7" s="366" t="s">
        <v>121</v>
      </c>
      <c r="H7" s="367"/>
      <c r="I7" s="148">
        <f>H17+(100*((1-(H17/100))/2)*((H11/H12)+((H11/H12)*(H11/H12))))</f>
        <v>65.26400000000001</v>
      </c>
      <c r="J7" s="5"/>
    </row>
    <row r="8" spans="2:10" customFormat="1" ht="17" thickBot="1" x14ac:dyDescent="0.25">
      <c r="B8" s="4"/>
      <c r="C8" s="147" t="s">
        <v>9</v>
      </c>
      <c r="D8" s="147"/>
      <c r="E8" s="2"/>
      <c r="F8" s="2"/>
      <c r="G8" s="2"/>
      <c r="H8" s="2"/>
      <c r="I8" s="2"/>
      <c r="J8" s="5"/>
    </row>
    <row r="9" spans="2:10" customFormat="1" ht="17" thickBot="1" x14ac:dyDescent="0.25">
      <c r="B9" s="4"/>
      <c r="C9" s="307" t="s">
        <v>76</v>
      </c>
      <c r="D9" s="308"/>
      <c r="E9" s="309"/>
      <c r="F9" s="2"/>
      <c r="G9" s="2"/>
      <c r="H9" s="2"/>
      <c r="I9" s="2"/>
      <c r="J9" s="5"/>
    </row>
    <row r="10" spans="2:10" customFormat="1" ht="17" thickBot="1" x14ac:dyDescent="0.25">
      <c r="B10" s="4"/>
      <c r="C10" s="310"/>
      <c r="D10" s="311"/>
      <c r="E10" s="312"/>
      <c r="F10" s="2"/>
      <c r="G10" s="42" t="s">
        <v>17</v>
      </c>
      <c r="H10" s="369">
        <f>DadosDep!F35</f>
        <v>43.199999999999996</v>
      </c>
      <c r="I10" s="370"/>
      <c r="J10" s="5"/>
    </row>
    <row r="11" spans="2:10" customFormat="1" x14ac:dyDescent="0.2">
      <c r="B11" s="4"/>
      <c r="C11" s="302" t="s">
        <v>77</v>
      </c>
      <c r="D11" s="303"/>
      <c r="E11" s="304"/>
      <c r="F11" s="2"/>
      <c r="G11" s="149" t="str">
        <f>DadosDep!C12</f>
        <v>t</v>
      </c>
      <c r="H11" s="150">
        <f>DadosDep!B12</f>
        <v>3</v>
      </c>
      <c r="I11" s="151" t="str">
        <f>DadosDep!D12</f>
        <v>idade aparente (anos)</v>
      </c>
      <c r="J11" s="5"/>
    </row>
    <row r="12" spans="2:10" customFormat="1" x14ac:dyDescent="0.2">
      <c r="B12" s="4"/>
      <c r="C12" s="302" t="s">
        <v>78</v>
      </c>
      <c r="D12" s="303"/>
      <c r="E12" s="304"/>
      <c r="F12" s="2"/>
      <c r="G12" s="152" t="str">
        <f>DadosDep!C13</f>
        <v>n</v>
      </c>
      <c r="H12" s="153">
        <f>DadosDep!B13</f>
        <v>5</v>
      </c>
      <c r="I12" s="154" t="str">
        <f>DadosDep!D13</f>
        <v>vida útil (anos)</v>
      </c>
      <c r="J12" s="5"/>
    </row>
    <row r="13" spans="2:10" customFormat="1" ht="17" thickBot="1" x14ac:dyDescent="0.25">
      <c r="B13" s="4"/>
      <c r="C13" s="302" t="s">
        <v>79</v>
      </c>
      <c r="D13" s="303"/>
      <c r="E13" s="304"/>
      <c r="F13" s="2"/>
      <c r="G13" s="155" t="str">
        <f>DadosDep!C14</f>
        <v>r</v>
      </c>
      <c r="H13" s="156">
        <f>DadosDep!B14</f>
        <v>10</v>
      </c>
      <c r="I13" s="157" t="str">
        <f>DadosDep!D14</f>
        <v>valor residual (%)</v>
      </c>
      <c r="J13" s="5"/>
    </row>
    <row r="14" spans="2:10" customFormat="1" ht="17" thickBot="1" x14ac:dyDescent="0.25">
      <c r="B14" s="4"/>
      <c r="C14" s="313" t="s">
        <v>122</v>
      </c>
      <c r="D14" s="314"/>
      <c r="E14" s="315"/>
      <c r="F14" s="2"/>
      <c r="G14" s="2"/>
      <c r="H14" s="2"/>
      <c r="I14" s="2"/>
      <c r="J14" s="5"/>
    </row>
    <row r="15" spans="2:10" customFormat="1" ht="17" thickBot="1" x14ac:dyDescent="0.25">
      <c r="B15" s="4"/>
      <c r="C15" s="2"/>
      <c r="D15" s="2"/>
      <c r="E15" s="2"/>
      <c r="F15" s="2"/>
      <c r="G15" s="2"/>
      <c r="H15" s="2"/>
      <c r="I15" s="2"/>
      <c r="J15" s="5"/>
    </row>
    <row r="16" spans="2:10" customFormat="1" x14ac:dyDescent="0.2">
      <c r="B16" s="4"/>
      <c r="C16" s="316" t="str">
        <f>Heidecke!B10</f>
        <v>estado</v>
      </c>
      <c r="D16" s="368"/>
      <c r="E16" s="158" t="str">
        <f>Heidecke!E10</f>
        <v>Depreciação</v>
      </c>
      <c r="F16" s="2"/>
      <c r="G16" s="159" t="s">
        <v>123</v>
      </c>
      <c r="H16" s="160" t="s">
        <v>117</v>
      </c>
      <c r="I16" s="2"/>
      <c r="J16" s="5"/>
    </row>
    <row r="17" spans="2:10" customFormat="1" ht="17" thickBot="1" x14ac:dyDescent="0.25">
      <c r="B17" s="4"/>
      <c r="C17" s="23" t="str">
        <f>Heidecke!B11</f>
        <v>a</v>
      </c>
      <c r="D17" s="95" t="str">
        <f>Heidecke!C11</f>
        <v>novo</v>
      </c>
      <c r="E17" s="161">
        <f>Heidecke!E11</f>
        <v>0</v>
      </c>
      <c r="F17" s="2"/>
      <c r="G17" s="162" t="str">
        <f>DadosDep!$D$50</f>
        <v>f</v>
      </c>
      <c r="H17" s="163">
        <f>Heidecke!$H$11</f>
        <v>33.200000000000003</v>
      </c>
      <c r="I17" s="2"/>
      <c r="J17" s="5"/>
    </row>
    <row r="18" spans="2:10" customFormat="1" x14ac:dyDescent="0.2">
      <c r="B18" s="4"/>
      <c r="C18" s="23" t="str">
        <f>Heidecke!B12</f>
        <v>b</v>
      </c>
      <c r="D18" s="95" t="str">
        <f>Heidecke!C12</f>
        <v>entre novo e regular</v>
      </c>
      <c r="E18" s="161">
        <f>Heidecke!E12</f>
        <v>3.2000000000000001E-2</v>
      </c>
      <c r="F18" s="2"/>
      <c r="G18" s="2"/>
      <c r="H18" s="2"/>
      <c r="I18" s="2"/>
      <c r="J18" s="5"/>
    </row>
    <row r="19" spans="2:10" customFormat="1" x14ac:dyDescent="0.2">
      <c r="B19" s="4"/>
      <c r="C19" s="23" t="str">
        <f>Heidecke!B13</f>
        <v>c</v>
      </c>
      <c r="D19" s="95" t="str">
        <f>Heidecke!C13</f>
        <v>regular</v>
      </c>
      <c r="E19" s="161">
        <f>Heidecke!E13</f>
        <v>2.52</v>
      </c>
      <c r="F19" s="2"/>
      <c r="G19" s="2"/>
      <c r="H19" s="2"/>
      <c r="I19" s="2"/>
      <c r="J19" s="5"/>
    </row>
    <row r="20" spans="2:10" customFormat="1" x14ac:dyDescent="0.2">
      <c r="B20" s="4"/>
      <c r="C20" s="23" t="str">
        <f>Heidecke!B14</f>
        <v>d</v>
      </c>
      <c r="D20" s="95" t="str">
        <f>Heidecke!C14</f>
        <v>entre regular e reparos simples</v>
      </c>
      <c r="E20" s="161">
        <f>Heidecke!E14</f>
        <v>8.09</v>
      </c>
      <c r="F20" s="2"/>
      <c r="G20" s="2"/>
      <c r="H20" s="164" t="s">
        <v>124</v>
      </c>
      <c r="I20" s="165">
        <f>DadosDep!B18</f>
        <v>550000</v>
      </c>
      <c r="J20" s="5"/>
    </row>
    <row r="21" spans="2:10" customFormat="1" x14ac:dyDescent="0.2">
      <c r="B21" s="4"/>
      <c r="C21" s="23" t="str">
        <f>Heidecke!B15</f>
        <v>e</v>
      </c>
      <c r="D21" s="95" t="str">
        <f>Heidecke!C15</f>
        <v>reparos simples</v>
      </c>
      <c r="E21" s="161">
        <f>Heidecke!E15</f>
        <v>18.100000000000001</v>
      </c>
      <c r="F21" s="2"/>
      <c r="G21" s="2"/>
      <c r="H21" s="166" t="s">
        <v>125</v>
      </c>
      <c r="I21" s="167">
        <f>DadosDep!K66</f>
        <v>191047.99999999994</v>
      </c>
      <c r="J21" s="5"/>
    </row>
    <row r="22" spans="2:10" customFormat="1" x14ac:dyDescent="0.2">
      <c r="B22" s="4"/>
      <c r="C22" s="23" t="str">
        <f>Heidecke!B16</f>
        <v>f</v>
      </c>
      <c r="D22" s="95" t="str">
        <f>Heidecke!C16</f>
        <v>entre reparos simples e importantes</v>
      </c>
      <c r="E22" s="161">
        <f>Heidecke!E16</f>
        <v>33.200000000000003</v>
      </c>
      <c r="F22" s="2"/>
      <c r="G22" s="2"/>
      <c r="H22" s="2"/>
      <c r="I22" s="2"/>
      <c r="J22" s="5"/>
    </row>
    <row r="23" spans="2:10" customFormat="1" x14ac:dyDescent="0.2">
      <c r="B23" s="4"/>
      <c r="C23" s="23" t="str">
        <f>Heidecke!B17</f>
        <v>g</v>
      </c>
      <c r="D23" s="95" t="str">
        <f>Heidecke!C17</f>
        <v>reparos importantes</v>
      </c>
      <c r="E23" s="161">
        <f>Heidecke!E17</f>
        <v>51.6</v>
      </c>
      <c r="F23" s="2"/>
      <c r="G23" s="2"/>
      <c r="H23" s="2"/>
      <c r="I23" s="2"/>
      <c r="J23" s="5"/>
    </row>
    <row r="24" spans="2:10" customFormat="1" x14ac:dyDescent="0.2">
      <c r="B24" s="4"/>
      <c r="C24" s="23" t="str">
        <f>Heidecke!B18</f>
        <v>h</v>
      </c>
      <c r="D24" s="95" t="str">
        <f>Heidecke!C18</f>
        <v>entre reparos importantes e sem valor</v>
      </c>
      <c r="E24" s="161">
        <f>Heidecke!E18</f>
        <v>75.2</v>
      </c>
      <c r="F24" s="2"/>
      <c r="G24" s="2"/>
      <c r="H24" s="2"/>
      <c r="I24" s="2"/>
      <c r="J24" s="5"/>
    </row>
    <row r="25" spans="2:10" customFormat="1" ht="17" thickBot="1" x14ac:dyDescent="0.25">
      <c r="B25" s="4"/>
      <c r="C25" s="24" t="str">
        <f>Heidecke!B19</f>
        <v>i</v>
      </c>
      <c r="D25" s="168" t="str">
        <f>Heidecke!C19</f>
        <v>sem valor</v>
      </c>
      <c r="E25" s="169">
        <f>Heidecke!E19</f>
        <v>100</v>
      </c>
      <c r="F25" s="2"/>
      <c r="G25" s="2"/>
      <c r="H25" s="2"/>
      <c r="I25" s="2"/>
      <c r="J25" s="5"/>
    </row>
    <row r="26" spans="2:10" customFormat="1" ht="17" thickBot="1" x14ac:dyDescent="0.25">
      <c r="B26" s="25"/>
      <c r="C26" s="26"/>
      <c r="D26" s="26"/>
      <c r="E26" s="26"/>
      <c r="F26" s="26"/>
      <c r="G26" s="26"/>
      <c r="H26" s="26"/>
      <c r="I26" s="26"/>
      <c r="J26" s="27"/>
    </row>
    <row r="27" spans="2:10" customFormat="1" x14ac:dyDescent="0.2">
      <c r="B27" s="1"/>
      <c r="C27" s="1"/>
      <c r="D27" s="1"/>
      <c r="E27" s="1"/>
      <c r="F27" s="1"/>
      <c r="G27" s="1"/>
      <c r="H27" s="1"/>
      <c r="I27" s="1"/>
      <c r="J27" s="1"/>
    </row>
    <row r="28" spans="2:10" customFormat="1" x14ac:dyDescent="0.2">
      <c r="B28" s="1"/>
      <c r="C28" s="1"/>
      <c r="D28" s="1"/>
      <c r="E28" s="1"/>
      <c r="F28" s="1"/>
      <c r="G28" s="1"/>
      <c r="H28" s="170">
        <f>100-(100*((100-I7)/100))</f>
        <v>65.26400000000001</v>
      </c>
      <c r="I28" s="1"/>
      <c r="J28" s="1"/>
    </row>
    <row r="29" spans="2:10" customFormat="1" x14ac:dyDescent="0.2">
      <c r="B29" s="1"/>
      <c r="C29" s="1"/>
      <c r="D29" s="1"/>
      <c r="E29" s="1"/>
      <c r="F29" s="1"/>
      <c r="G29" s="1"/>
      <c r="H29" s="1"/>
      <c r="I29" s="1"/>
      <c r="J29" s="1"/>
    </row>
    <row r="30" spans="2:10" customFormat="1" x14ac:dyDescent="0.2">
      <c r="B30" s="1"/>
      <c r="C30" s="1"/>
      <c r="D30" s="1"/>
      <c r="E30" s="1"/>
      <c r="F30" s="1"/>
      <c r="G30" s="1"/>
      <c r="H30" s="1"/>
      <c r="I30" s="1"/>
      <c r="J30" s="1"/>
    </row>
    <row r="31" spans="2:10" customFormat="1" x14ac:dyDescent="0.2">
      <c r="B31" s="1"/>
      <c r="C31" s="1"/>
      <c r="D31" s="1"/>
      <c r="E31" s="1"/>
      <c r="F31" s="1"/>
      <c r="G31" s="1"/>
      <c r="I31" s="1"/>
      <c r="J31" s="1"/>
    </row>
    <row r="32" spans="2:10" customFormat="1" x14ac:dyDescent="0.2">
      <c r="B32" s="1"/>
      <c r="C32" s="1"/>
      <c r="D32" s="1"/>
      <c r="E32" s="1"/>
      <c r="F32" s="1"/>
      <c r="G32" s="1"/>
      <c r="H32" s="1"/>
      <c r="I32" s="1"/>
      <c r="J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sheetData>
  <mergeCells count="13">
    <mergeCell ref="C16:D16"/>
    <mergeCell ref="C10:E10"/>
    <mergeCell ref="H10:I10"/>
    <mergeCell ref="C11:E11"/>
    <mergeCell ref="C12:E12"/>
    <mergeCell ref="C13:E13"/>
    <mergeCell ref="C14:E14"/>
    <mergeCell ref="C9:E9"/>
    <mergeCell ref="B2:D2"/>
    <mergeCell ref="C4:E4"/>
    <mergeCell ref="G5:H5"/>
    <mergeCell ref="C6:E6"/>
    <mergeCell ref="G7:H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I9" sqref="I9"/>
    </sheetView>
  </sheetViews>
  <sheetFormatPr baseColWidth="10" defaultColWidth="7.6640625" defaultRowHeight="16" x14ac:dyDescent="0.2"/>
  <cols>
    <col min="1" max="1" width="2" style="174" customWidth="1"/>
    <col min="2" max="2" width="18" style="174" customWidth="1"/>
    <col min="3" max="3" width="2.83203125" style="174" customWidth="1"/>
    <col min="4" max="6" width="7.6640625" style="174"/>
    <col min="7" max="7" width="2.5" style="174" customWidth="1"/>
    <col min="8" max="8" width="23.6640625" style="174" bestFit="1" customWidth="1"/>
    <col min="9" max="9" width="7.33203125" style="174" customWidth="1"/>
    <col min="10" max="10" width="3.33203125" style="174" customWidth="1"/>
    <col min="11" max="16384" width="7.6640625" style="174"/>
  </cols>
  <sheetData>
    <row r="1" spans="1:16" x14ac:dyDescent="0.2">
      <c r="A1" s="171"/>
      <c r="B1" s="172"/>
      <c r="C1" s="172"/>
      <c r="D1" s="172"/>
      <c r="E1" s="172"/>
      <c r="F1" s="172"/>
      <c r="G1" s="172"/>
      <c r="H1" s="172"/>
      <c r="I1" s="172"/>
      <c r="J1" s="173"/>
    </row>
    <row r="2" spans="1:16" x14ac:dyDescent="0.2">
      <c r="A2" s="175"/>
      <c r="B2" s="371" t="s">
        <v>126</v>
      </c>
      <c r="C2" s="371"/>
      <c r="D2" s="371"/>
      <c r="E2" s="371"/>
      <c r="F2" s="371"/>
      <c r="G2" s="371"/>
      <c r="H2" s="371"/>
      <c r="I2" s="371"/>
      <c r="J2" s="176"/>
    </row>
    <row r="3" spans="1:16" x14ac:dyDescent="0.2">
      <c r="A3" s="175"/>
      <c r="B3" s="372" t="s">
        <v>127</v>
      </c>
      <c r="C3" s="372"/>
      <c r="D3" s="372"/>
      <c r="E3" s="372"/>
      <c r="F3" s="372"/>
      <c r="G3" s="372"/>
      <c r="H3" s="372"/>
      <c r="I3" s="372"/>
      <c r="J3" s="176"/>
    </row>
    <row r="4" spans="1:16" x14ac:dyDescent="0.2">
      <c r="A4" s="175"/>
      <c r="B4" s="177"/>
      <c r="C4" s="177"/>
      <c r="D4" s="177"/>
      <c r="E4" s="177"/>
      <c r="F4" s="177"/>
      <c r="G4" s="177"/>
      <c r="H4" s="177"/>
      <c r="I4" s="177"/>
      <c r="J4" s="176"/>
    </row>
    <row r="5" spans="1:16" x14ac:dyDescent="0.2">
      <c r="A5" s="175"/>
      <c r="B5" s="177"/>
      <c r="C5" s="178"/>
      <c r="D5" s="179"/>
      <c r="E5" s="179"/>
      <c r="F5" s="179"/>
      <c r="G5" s="180"/>
      <c r="H5" s="373" t="s">
        <v>128</v>
      </c>
      <c r="I5" s="374">
        <f>100-(100/((1+H12/100)^H11))</f>
        <v>18.370212310914809</v>
      </c>
      <c r="J5" s="176"/>
    </row>
    <row r="6" spans="1:16" ht="17" thickBot="1" x14ac:dyDescent="0.25">
      <c r="A6" s="175"/>
      <c r="B6" s="177"/>
      <c r="C6" s="181"/>
      <c r="D6" s="182" t="s">
        <v>129</v>
      </c>
      <c r="E6" s="375" t="s">
        <v>130</v>
      </c>
      <c r="F6" s="375"/>
      <c r="G6" s="183"/>
      <c r="H6" s="373"/>
      <c r="I6" s="374"/>
      <c r="J6" s="176"/>
    </row>
    <row r="7" spans="1:16" x14ac:dyDescent="0.2">
      <c r="A7" s="175"/>
      <c r="B7" s="177"/>
      <c r="C7" s="181"/>
      <c r="D7" s="184"/>
      <c r="E7" s="376" t="s">
        <v>131</v>
      </c>
      <c r="F7" s="376"/>
      <c r="G7" s="183"/>
      <c r="H7" s="373"/>
      <c r="I7" s="374"/>
      <c r="J7" s="176"/>
    </row>
    <row r="8" spans="1:16" x14ac:dyDescent="0.2">
      <c r="A8" s="175"/>
      <c r="B8" s="177"/>
      <c r="C8" s="185"/>
      <c r="D8" s="186"/>
      <c r="E8" s="186"/>
      <c r="F8" s="186"/>
      <c r="G8" s="187"/>
      <c r="H8" s="373"/>
      <c r="I8" s="374"/>
      <c r="J8" s="176"/>
    </row>
    <row r="9" spans="1:16" x14ac:dyDescent="0.2">
      <c r="A9" s="175"/>
      <c r="B9" s="177"/>
      <c r="C9" s="177"/>
      <c r="D9" s="177"/>
      <c r="E9" s="177"/>
      <c r="F9" s="177"/>
      <c r="G9" s="177"/>
      <c r="H9" s="177"/>
      <c r="I9" s="177"/>
      <c r="J9" s="176"/>
    </row>
    <row r="10" spans="1:16" x14ac:dyDescent="0.2">
      <c r="A10" s="175"/>
      <c r="B10" s="177" t="s">
        <v>132</v>
      </c>
      <c r="C10" s="177"/>
      <c r="D10" s="177"/>
      <c r="E10" s="177"/>
      <c r="F10" s="177"/>
      <c r="G10" s="177"/>
      <c r="H10" s="177"/>
      <c r="I10" s="177"/>
      <c r="J10" s="176"/>
    </row>
    <row r="11" spans="1:16" x14ac:dyDescent="0.2">
      <c r="A11" s="175"/>
      <c r="B11" s="377" t="s">
        <v>133</v>
      </c>
      <c r="C11" s="377"/>
      <c r="D11" s="377"/>
      <c r="E11" s="377"/>
      <c r="F11" s="377"/>
      <c r="G11" s="377"/>
      <c r="H11" s="188">
        <f>DadosDep!B12</f>
        <v>3</v>
      </c>
      <c r="I11" s="177"/>
      <c r="J11" s="176"/>
    </row>
    <row r="12" spans="1:16" x14ac:dyDescent="0.2">
      <c r="A12" s="175"/>
      <c r="B12" s="377" t="s">
        <v>134</v>
      </c>
      <c r="C12" s="377"/>
      <c r="D12" s="377"/>
      <c r="E12" s="377"/>
      <c r="F12" s="377"/>
      <c r="G12" s="377"/>
      <c r="H12" s="189">
        <f>I22</f>
        <v>7</v>
      </c>
      <c r="I12" s="177"/>
      <c r="J12" s="176"/>
    </row>
    <row r="13" spans="1:16" x14ac:dyDescent="0.2">
      <c r="A13" s="175"/>
      <c r="B13" s="177"/>
      <c r="C13" s="177"/>
      <c r="D13" s="177"/>
      <c r="E13" s="177"/>
      <c r="F13" s="177"/>
      <c r="G13" s="177"/>
      <c r="H13" s="190"/>
      <c r="I13" s="177"/>
      <c r="J13" s="176"/>
    </row>
    <row r="14" spans="1:16" x14ac:dyDescent="0.2">
      <c r="A14" s="175"/>
      <c r="B14" s="177"/>
      <c r="C14" s="177"/>
      <c r="D14" s="177"/>
      <c r="E14" s="177"/>
      <c r="F14" s="177"/>
      <c r="G14" s="177"/>
      <c r="H14" s="177"/>
      <c r="I14" s="177"/>
      <c r="J14" s="176"/>
    </row>
    <row r="15" spans="1:16" x14ac:dyDescent="0.2">
      <c r="A15" s="175"/>
      <c r="B15" s="378" t="s">
        <v>60</v>
      </c>
      <c r="C15" s="378"/>
      <c r="D15" s="378"/>
      <c r="E15" s="378"/>
      <c r="F15" s="378" t="s">
        <v>61</v>
      </c>
      <c r="G15" s="378"/>
      <c r="H15" s="378"/>
      <c r="I15" s="191" t="s">
        <v>62</v>
      </c>
      <c r="J15" s="176"/>
      <c r="O15" s="192"/>
      <c r="P15" s="193" t="s">
        <v>62</v>
      </c>
    </row>
    <row r="16" spans="1:16" x14ac:dyDescent="0.2">
      <c r="A16" s="175"/>
      <c r="B16" s="377" t="s">
        <v>63</v>
      </c>
      <c r="C16" s="377"/>
      <c r="D16" s="377"/>
      <c r="E16" s="377"/>
      <c r="F16" s="379" t="s">
        <v>64</v>
      </c>
      <c r="G16" s="379"/>
      <c r="H16" s="379"/>
      <c r="I16" s="191">
        <f t="shared" ref="I16:I21" si="0">IF(O16&lt;=0,0,O16)</f>
        <v>2</v>
      </c>
      <c r="J16" s="176"/>
      <c r="O16" s="192">
        <f>IF(P16&gt;=2,2,P16)</f>
        <v>2</v>
      </c>
      <c r="P16" s="194">
        <f>DadosDep!V59</f>
        <v>2</v>
      </c>
    </row>
    <row r="17" spans="1:16" x14ac:dyDescent="0.2">
      <c r="A17" s="175"/>
      <c r="B17" s="377" t="s">
        <v>65</v>
      </c>
      <c r="C17" s="377"/>
      <c r="D17" s="377"/>
      <c r="E17" s="377"/>
      <c r="F17" s="379" t="s">
        <v>66</v>
      </c>
      <c r="G17" s="379"/>
      <c r="H17" s="379"/>
      <c r="I17" s="191">
        <f t="shared" si="0"/>
        <v>1.5</v>
      </c>
      <c r="J17" s="176"/>
      <c r="O17" s="192">
        <f>IF(P17&gt;=3,3,P17)</f>
        <v>1.5</v>
      </c>
      <c r="P17" s="194">
        <f>DadosDep!V60</f>
        <v>1.5</v>
      </c>
    </row>
    <row r="18" spans="1:16" x14ac:dyDescent="0.2">
      <c r="A18" s="175"/>
      <c r="B18" s="377" t="s">
        <v>67</v>
      </c>
      <c r="C18" s="377"/>
      <c r="D18" s="377"/>
      <c r="E18" s="377"/>
      <c r="F18" s="379" t="s">
        <v>68</v>
      </c>
      <c r="G18" s="379"/>
      <c r="H18" s="379"/>
      <c r="I18" s="191">
        <f t="shared" si="0"/>
        <v>0.5</v>
      </c>
      <c r="J18" s="176"/>
      <c r="O18" s="192">
        <f>IF(P18&gt;=1,1,P18)</f>
        <v>0.5</v>
      </c>
      <c r="P18" s="194">
        <f>DadosDep!V61</f>
        <v>0.5</v>
      </c>
    </row>
    <row r="19" spans="1:16" x14ac:dyDescent="0.2">
      <c r="A19" s="175"/>
      <c r="B19" s="377" t="s">
        <v>69</v>
      </c>
      <c r="C19" s="377"/>
      <c r="D19" s="377"/>
      <c r="E19" s="377"/>
      <c r="F19" s="379" t="s">
        <v>64</v>
      </c>
      <c r="G19" s="379"/>
      <c r="H19" s="379"/>
      <c r="I19" s="191">
        <f t="shared" si="0"/>
        <v>1</v>
      </c>
      <c r="J19" s="176"/>
      <c r="O19" s="192">
        <f>IF(P19&gt;=2,2,P19)</f>
        <v>1</v>
      </c>
      <c r="P19" s="194">
        <f>DadosDep!V62</f>
        <v>1</v>
      </c>
    </row>
    <row r="20" spans="1:16" x14ac:dyDescent="0.2">
      <c r="A20" s="175"/>
      <c r="B20" s="377" t="s">
        <v>70</v>
      </c>
      <c r="C20" s="377"/>
      <c r="D20" s="377"/>
      <c r="E20" s="377"/>
      <c r="F20" s="379" t="s">
        <v>64</v>
      </c>
      <c r="G20" s="379"/>
      <c r="H20" s="379"/>
      <c r="I20" s="191">
        <f t="shared" si="0"/>
        <v>1</v>
      </c>
      <c r="J20" s="176"/>
      <c r="O20" s="192">
        <f>IF(P20&gt;=2,2,P20)</f>
        <v>1</v>
      </c>
      <c r="P20" s="194">
        <f>DadosDep!V63</f>
        <v>1</v>
      </c>
    </row>
    <row r="21" spans="1:16" x14ac:dyDescent="0.2">
      <c r="A21" s="175"/>
      <c r="B21" s="377" t="s">
        <v>71</v>
      </c>
      <c r="C21" s="377"/>
      <c r="D21" s="377"/>
      <c r="E21" s="377"/>
      <c r="F21" s="379" t="s">
        <v>64</v>
      </c>
      <c r="G21" s="379"/>
      <c r="H21" s="379"/>
      <c r="I21" s="191">
        <f t="shared" si="0"/>
        <v>1</v>
      </c>
      <c r="J21" s="176"/>
      <c r="O21" s="192">
        <f>IF(P21&gt;=2,2,P21)</f>
        <v>1</v>
      </c>
      <c r="P21" s="194">
        <f>DadosDep!V64</f>
        <v>1</v>
      </c>
    </row>
    <row r="22" spans="1:16" x14ac:dyDescent="0.2">
      <c r="A22" s="175"/>
      <c r="B22" s="378" t="s">
        <v>72</v>
      </c>
      <c r="C22" s="378"/>
      <c r="D22" s="378"/>
      <c r="E22" s="378"/>
      <c r="F22" s="381" t="s">
        <v>73</v>
      </c>
      <c r="G22" s="381"/>
      <c r="H22" s="381"/>
      <c r="I22" s="191">
        <f>SUM(I16:I21)</f>
        <v>7</v>
      </c>
      <c r="J22" s="176"/>
      <c r="O22" s="192"/>
      <c r="P22" s="195">
        <f>SUM(P16:P21)</f>
        <v>7</v>
      </c>
    </row>
    <row r="23" spans="1:16" x14ac:dyDescent="0.2">
      <c r="A23" s="175"/>
      <c r="B23" s="380" t="s">
        <v>135</v>
      </c>
      <c r="C23" s="380"/>
      <c r="D23" s="380"/>
      <c r="E23" s="380"/>
      <c r="F23" s="380"/>
      <c r="G23" s="380"/>
      <c r="H23" s="380"/>
      <c r="I23" s="380"/>
      <c r="J23" s="176"/>
    </row>
    <row r="24" spans="1:16" ht="17" thickBot="1" x14ac:dyDescent="0.25">
      <c r="A24" s="196"/>
      <c r="B24" s="197"/>
      <c r="C24" s="197"/>
      <c r="D24" s="197"/>
      <c r="E24" s="197"/>
      <c r="F24" s="197"/>
      <c r="G24" s="197"/>
      <c r="H24" s="197"/>
      <c r="I24" s="197"/>
      <c r="J24" s="198"/>
    </row>
  </sheetData>
  <mergeCells count="25">
    <mergeCell ref="B23:I23"/>
    <mergeCell ref="B20:E20"/>
    <mergeCell ref="F20:H20"/>
    <mergeCell ref="B21:E21"/>
    <mergeCell ref="F21:H21"/>
    <mergeCell ref="B22:E22"/>
    <mergeCell ref="F22:H22"/>
    <mergeCell ref="B17:E17"/>
    <mergeCell ref="F17:H17"/>
    <mergeCell ref="B18:E18"/>
    <mergeCell ref="F18:H18"/>
    <mergeCell ref="B19:E19"/>
    <mergeCell ref="F19:H19"/>
    <mergeCell ref="B11:G11"/>
    <mergeCell ref="B12:G12"/>
    <mergeCell ref="B15:E15"/>
    <mergeCell ref="F15:H15"/>
    <mergeCell ref="B16:E16"/>
    <mergeCell ref="F16:H16"/>
    <mergeCell ref="B2:I2"/>
    <mergeCell ref="B3:I3"/>
    <mergeCell ref="H5:H8"/>
    <mergeCell ref="I5:I8"/>
    <mergeCell ref="E6:F6"/>
    <mergeCell ref="E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10</vt:i4>
      </vt:variant>
    </vt:vector>
  </HeadingPairs>
  <TitlesOfParts>
    <vt:vector size="10" baseType="lpstr">
      <vt:lpstr>DadosDep</vt:lpstr>
      <vt:lpstr>Relatório</vt:lpstr>
      <vt:lpstr>Ross</vt:lpstr>
      <vt:lpstr>HCaires</vt:lpstr>
      <vt:lpstr>LinhaReta</vt:lpstr>
      <vt:lpstr>Kuentzle</vt:lpstr>
      <vt:lpstr>Heidecke</vt:lpstr>
      <vt:lpstr>RossHeidecke</vt:lpstr>
      <vt:lpstr>Criticidade</vt:lpstr>
      <vt:lpstr>RH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Microsoft Office</dc:creator>
  <cp:lastModifiedBy>Usuário do Microsoft Office</cp:lastModifiedBy>
  <dcterms:created xsi:type="dcterms:W3CDTF">2020-08-16T21:31:28Z</dcterms:created>
  <dcterms:modified xsi:type="dcterms:W3CDTF">2020-08-18T22:35:08Z</dcterms:modified>
</cp:coreProperties>
</file>